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tabRatio="856" activeTab="0"/>
  </bookViews>
  <sheets>
    <sheet name="Prognoza długu " sheetId="1" r:id="rId1"/>
  </sheets>
  <definedNames>
    <definedName name="_xlnm.Print_Area" localSheetId="0">'Prognoza długu '!$A$1:$AL$94</definedName>
    <definedName name="_xlnm.Print_Titles" localSheetId="0">'Prognoza długu '!$5:$6</definedName>
  </definedNames>
  <calcPr fullCalcOnLoad="1"/>
</workbook>
</file>

<file path=xl/sharedStrings.xml><?xml version="1.0" encoding="utf-8"?>
<sst xmlns="http://schemas.openxmlformats.org/spreadsheetml/2006/main" count="217" uniqueCount="152">
  <si>
    <t>z tego:</t>
  </si>
  <si>
    <t>Dochody majątkowe (a+b+c)</t>
  </si>
  <si>
    <t>Dochody ogółem (1.1+1.2)</t>
  </si>
  <si>
    <t>dotacje i środki pozyskane z różnych źródeł  (dotacje na zadania własne, zlecone, powierzone i inne pozyskane z różnych źródeł)</t>
  </si>
  <si>
    <t>gwarancje i poręczenia (bez ujętych w przedsięwzięciach)</t>
  </si>
  <si>
    <t>Przychody niezwiększające długu</t>
  </si>
  <si>
    <t>Wydatki ogółem(2+6.1+9)</t>
  </si>
  <si>
    <t>Przychody - rozchody</t>
  </si>
  <si>
    <t>Wydatki majątkowe</t>
  </si>
  <si>
    <t>1.1.</t>
  </si>
  <si>
    <t>1.2.</t>
  </si>
  <si>
    <t>a</t>
  </si>
  <si>
    <t>b</t>
  </si>
  <si>
    <t>c</t>
  </si>
  <si>
    <t>2.1.</t>
  </si>
  <si>
    <t>2.2.</t>
  </si>
  <si>
    <t>wydatki związane z funkcjonowaniem organów j.s.t.</t>
  </si>
  <si>
    <t>wynagrodzenia i składki od nich naliczane</t>
  </si>
  <si>
    <t>2.3.</t>
  </si>
  <si>
    <t>pozostałe programy, projekty, zadania - bieżące</t>
  </si>
  <si>
    <t>wieloletnie umowy niezbędne do zapewnienia ciągłości</t>
  </si>
  <si>
    <t>wieloletnie umowy o partnerstwie publiczno-prywatnym</t>
  </si>
  <si>
    <t>2.4.</t>
  </si>
  <si>
    <t>pozostałe wydatki bieżące</t>
  </si>
  <si>
    <t>Wynik budżetu po wykonaniu wydatków bieżących bez obsługi długu (1-2)</t>
  </si>
  <si>
    <t>3.</t>
  </si>
  <si>
    <t>nadwyżki budżetowe z lat poprzednich</t>
  </si>
  <si>
    <t>4.</t>
  </si>
  <si>
    <t>4.1.</t>
  </si>
  <si>
    <t>4.2.</t>
  </si>
  <si>
    <t>4.3.</t>
  </si>
  <si>
    <t>5.</t>
  </si>
  <si>
    <t>6.</t>
  </si>
  <si>
    <t>6.1.</t>
  </si>
  <si>
    <t>6.1.1.</t>
  </si>
  <si>
    <t>odsetki i dyskonto</t>
  </si>
  <si>
    <t>6.1.3.</t>
  </si>
  <si>
    <t>6.1.2.</t>
  </si>
  <si>
    <t>podlegające wyłączeniu (w związku z umową zawartą na realizację projektu z udziałem środków, o których mowa w art.5 ust.1 pkt 2 ufp)</t>
  </si>
  <si>
    <t>6.2.</t>
  </si>
  <si>
    <t>7.</t>
  </si>
  <si>
    <t>8.</t>
  </si>
  <si>
    <t>9</t>
  </si>
  <si>
    <t>9.</t>
  </si>
  <si>
    <t>9.1.</t>
  </si>
  <si>
    <t>pozostałe wieloletnie programy, projekty, zadania</t>
  </si>
  <si>
    <t>9.2.</t>
  </si>
  <si>
    <t>pozostałe wydatki majątkowe</t>
  </si>
  <si>
    <t>10.</t>
  </si>
  <si>
    <t>11.</t>
  </si>
  <si>
    <t>Wynik finansowy budżetu (8-9+10)</t>
  </si>
  <si>
    <t>12.</t>
  </si>
  <si>
    <t>Kwota długu na koniec roku</t>
  </si>
  <si>
    <t>podlegająca wyłączeniu (w związku z umową zawartą na realizację projektu z udziałem środków, o których mowa w art.5 ust.1 pkt 2 ufp)</t>
  </si>
  <si>
    <t>13.</t>
  </si>
  <si>
    <t>Kwota spłaty długu</t>
  </si>
  <si>
    <t>14.</t>
  </si>
  <si>
    <t>Sposób sfinansowania spłaty długu (zgodna z kwotą wykazaną w poz.13)</t>
  </si>
  <si>
    <t>- nadwyżki budżetowe</t>
  </si>
  <si>
    <t>- wolne środki</t>
  </si>
  <si>
    <t>- przychody z tytułu kredytów, pożyczek, emitowanych papierów wartościowych</t>
  </si>
  <si>
    <t>15.</t>
  </si>
  <si>
    <t>relacja, o której mowa w art.169 ustawy z 30 czerwca 2005r. o finansach publicznych (bez wyłączeń)</t>
  </si>
  <si>
    <t>relacja, o której mowa w art.169 ustawy z 30 czerwca 2005r. o finansach publicznych po wyłączeniach (max. 15%)</t>
  </si>
  <si>
    <t>relacja, o której mowa w art.170 ustawy z 30 czerwca 2005r. o finansach publicznych (bez wyłączeń)</t>
  </si>
  <si>
    <t>relacja, o której mowa w art.170 ustawy z 30 czerwca 2005r. o finansach publicznych po wyłączeniach (max. 60%)</t>
  </si>
  <si>
    <t>relacja, o której mowa w art.243 ust.1 ustawy z 27 sierpnia 2009r. o finansach publicznych po wyłączeniach (bez długu związku)</t>
  </si>
  <si>
    <t>Dochody ogółem</t>
  </si>
  <si>
    <t>Wynik budżetu (nadwyżka + / deficyt -)</t>
  </si>
  <si>
    <t>Przychody ogółem</t>
  </si>
  <si>
    <t>Lp.</t>
  </si>
  <si>
    <t>Prognoza</t>
  </si>
  <si>
    <t>4</t>
  </si>
  <si>
    <t>5</t>
  </si>
  <si>
    <t>6</t>
  </si>
  <si>
    <t>7</t>
  </si>
  <si>
    <t>8</t>
  </si>
  <si>
    <t>10</t>
  </si>
  <si>
    <t>11</t>
  </si>
  <si>
    <t>12</t>
  </si>
  <si>
    <t>przedsięwzięcia, o których mowa w art.226 ust.4 ufp (wydatki bieżące z wyłączeniem wieloletnich gwarancji i poręczeń)</t>
  </si>
  <si>
    <t>wieloletnie gwarancje i poręczenia będące przedsięwzięciami , o których mowa w art.226 ust.4 ufp</t>
  </si>
  <si>
    <t>przedsięwzięcia, o których mowa w art.226 ust.4 ufp (wydatki majątkowe)</t>
  </si>
  <si>
    <t>Wydatki bieżące (bez wydatków związanych z obsługą długu)</t>
  </si>
  <si>
    <t>wieloletnie programy finansowane z udziałem środków, o których mowa w art.5 ust.1 pkt 2 i 3 ufp</t>
  </si>
  <si>
    <t>spełnienie relacji, o której mowa w art.243 ust.1 ustawy z 27 sierpnia 2009r. w % L&lt;=P</t>
  </si>
  <si>
    <r>
      <t xml:space="preserve">indywidualny limit zadłużenia, o którym mowa w art.243 ust.1 ustawy z 27 sierpnia 2009r. o finansach publicznych w % (średnia z trzech poprzednich lat) - </t>
    </r>
    <r>
      <rPr>
        <b/>
        <sz val="10"/>
        <rFont val="Arial Narrow"/>
        <family val="2"/>
      </rPr>
      <t>prawa strona</t>
    </r>
  </si>
  <si>
    <r>
      <t xml:space="preserve">relacja, o której mowa w art.243 ust.1 ustawy z 27 sierpnia 2009r. o finansach publicznych w % (bez wyłączeń i kwoty długu związku) - </t>
    </r>
    <r>
      <rPr>
        <b/>
        <sz val="10"/>
        <rFont val="Arial Narrow"/>
        <family val="2"/>
      </rPr>
      <t>lewa strona;</t>
    </r>
    <r>
      <rPr>
        <sz val="10"/>
        <rFont val="Arial Narrow"/>
        <family val="2"/>
      </rPr>
      <t xml:space="preserve"> (R+O)/D</t>
    </r>
  </si>
  <si>
    <r>
      <t xml:space="preserve">relacja bazowa do wyliczenia indywidualnego limitu zadłużenia                </t>
    </r>
    <r>
      <rPr>
        <b/>
        <sz val="10"/>
        <rFont val="Arial Narrow"/>
        <family val="2"/>
      </rPr>
      <t>(Db+Sm-Wb)/D</t>
    </r>
  </si>
  <si>
    <t>III+IV</t>
  </si>
  <si>
    <t>Wyszczególnienie</t>
  </si>
  <si>
    <t>2.</t>
  </si>
  <si>
    <t>w złotych</t>
  </si>
  <si>
    <t>I</t>
  </si>
  <si>
    <t>II</t>
  </si>
  <si>
    <t>dochody z tytułu przekształcenia prawa użytkowania wieczystego w prawo własności</t>
  </si>
  <si>
    <t>Przychody zwiększające dług (nowo zaciągane kredyty, pożyczki, emitowane papiery)</t>
  </si>
  <si>
    <r>
      <t>Dochody bieżące;</t>
    </r>
    <r>
      <rPr>
        <b/>
        <sz val="10"/>
        <rFont val="Arial Narrow"/>
        <family val="2"/>
      </rPr>
      <t>Db</t>
    </r>
    <r>
      <rPr>
        <sz val="10"/>
        <rFont val="Arial Narrow"/>
        <family val="2"/>
      </rPr>
      <t>(a+b+c)</t>
    </r>
  </si>
  <si>
    <r>
      <t xml:space="preserve">dochody ze sprzedaży majątku </t>
    </r>
    <r>
      <rPr>
        <b/>
        <sz val="10"/>
        <rFont val="Arial Narrow"/>
        <family val="2"/>
      </rPr>
      <t>Sm</t>
    </r>
  </si>
  <si>
    <r>
      <t>Wydatki bieżące ;</t>
    </r>
    <r>
      <rPr>
        <b/>
        <sz val="10"/>
        <rFont val="Arial Narrow"/>
        <family val="2"/>
      </rPr>
      <t>Wb</t>
    </r>
    <r>
      <rPr>
        <sz val="10"/>
        <rFont val="Arial Narrow"/>
        <family val="2"/>
      </rPr>
      <t>(2+6.1)</t>
    </r>
  </si>
  <si>
    <t>W</t>
  </si>
  <si>
    <t>Środki do dyspozycji - źródło finansowania spłaty długu i wydatków majątkowych (3+4)</t>
  </si>
  <si>
    <t>Obsługa długu (wydatki i rozchody) R+O</t>
  </si>
  <si>
    <r>
      <t xml:space="preserve">wydatki związane z obsługą długu; </t>
    </r>
    <r>
      <rPr>
        <b/>
        <sz val="10"/>
        <rFont val="Arial Narrow"/>
        <family val="2"/>
      </rPr>
      <t>O</t>
    </r>
  </si>
  <si>
    <r>
      <t>Rozchody zmniejszające dług (spłata rat kredytów i pożyczek, wykup papierów);</t>
    </r>
    <r>
      <rPr>
        <b/>
        <sz val="10"/>
        <rFont val="Arial Narrow"/>
        <family val="2"/>
      </rPr>
      <t>R</t>
    </r>
  </si>
  <si>
    <t>Środki do dyspozycji na finansowanie wydatków majątkowych (5-6-7)</t>
  </si>
  <si>
    <t>15.1.</t>
  </si>
  <si>
    <t>15.2.</t>
  </si>
  <si>
    <t>15.3.</t>
  </si>
  <si>
    <t>15.4.</t>
  </si>
  <si>
    <t>15.5.</t>
  </si>
  <si>
    <t>III</t>
  </si>
  <si>
    <t>Wydatki ogółem</t>
  </si>
  <si>
    <t>Prognoza w latach</t>
  </si>
  <si>
    <t>dotacje i środki na realizację przedsięwzięć</t>
  </si>
  <si>
    <t>wydatki wynikające z limitów wydatków na przedsięwzięcia</t>
  </si>
  <si>
    <t>IV</t>
  </si>
  <si>
    <t>V</t>
  </si>
  <si>
    <t>wolne środki</t>
  </si>
  <si>
    <t>VI</t>
  </si>
  <si>
    <t>1</t>
  </si>
  <si>
    <t>2</t>
  </si>
  <si>
    <t>3</t>
  </si>
  <si>
    <t>dochody własne</t>
  </si>
  <si>
    <t>subwencje</t>
  </si>
  <si>
    <t>Rozchody ogółem</t>
  </si>
  <si>
    <t>Wb</t>
  </si>
  <si>
    <t>Db+Sm-Wb</t>
  </si>
  <si>
    <t>Tabela 3.Wskaźniki  do wieloletniej prognozy finansowej</t>
  </si>
  <si>
    <t>2012 /2011</t>
  </si>
  <si>
    <t>2013 /2012</t>
  </si>
  <si>
    <t>2014 /2013</t>
  </si>
  <si>
    <t>2015 /2014</t>
  </si>
  <si>
    <t>2016 /2015</t>
  </si>
  <si>
    <t>2017 /2016</t>
  </si>
  <si>
    <t>2018 /2017</t>
  </si>
  <si>
    <t>2019 /2018</t>
  </si>
  <si>
    <t>2020 /2019</t>
  </si>
  <si>
    <t>wyliczenie</t>
  </si>
  <si>
    <t>2021/2020</t>
  </si>
  <si>
    <t>2022/2021</t>
  </si>
  <si>
    <t>2023/2022</t>
  </si>
  <si>
    <t>2024/2023</t>
  </si>
  <si>
    <t>2025/2024</t>
  </si>
  <si>
    <t>2026/2025</t>
  </si>
  <si>
    <t>2027/2026</t>
  </si>
  <si>
    <t>prywatyzacja majątku, sprzedaż papierów wartościowych i spłaty udzielonych pożyczek</t>
  </si>
  <si>
    <t>TAK</t>
  </si>
  <si>
    <t>Pozostałe rozchody (z wyłączeniem spłat długu)</t>
  </si>
  <si>
    <t>Wskaźniki zadłużenia</t>
  </si>
  <si>
    <t>Plan na 2011</t>
  </si>
  <si>
    <t>Wieloletnia Prognoza Finansowa wraz z prognozą kwoty długu na lata 2011-2027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</si>
</sst>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"/>
    <numFmt numFmtId="177" formatCode="0.0000%"/>
    <numFmt numFmtId="178" formatCode="#,##0_ ;\-#,##0\ "/>
    <numFmt numFmtId="179" formatCode="#,##0.00\ _z_ł"/>
    <numFmt numFmtId="180" formatCode="#,##0.00_ ;[Red]\-#,##0.00\ "/>
    <numFmt numFmtId="181" formatCode="0.0%"/>
    <numFmt numFmtId="182" formatCode="0.0"/>
    <numFmt numFmtId="183" formatCode="0.000"/>
    <numFmt numFmtId="184" formatCode="_-* #,##0.0\ _z_ł_-;\-* #,##0.0\ _z_ł_-;_-* &quot;-&quot;\ _z_ł_-;_-@_-"/>
    <numFmt numFmtId="185" formatCode="_-* #,##0.00\ _z_ł_-;\-* #,##0.00\ _z_ł_-;_-* &quot;-&quot;\ _z_ł_-;_-@_-"/>
    <numFmt numFmtId="186" formatCode="_-* #,##0.0\ _z_ł_-;\-* #,##0.0\ _z_ł_-;_-* &quot;-&quot;??\ _z_ł_-;_-@_-"/>
    <numFmt numFmtId="187" formatCode="_-* #,##0\ _z_ł_-;\-* #,##0\ _z_ł_-;_-* &quot;-&quot;??\ _z_ł_-;_-@_-"/>
    <numFmt numFmtId="188" formatCode="#,##0.00_ ;\-#,##0.00\ "/>
    <numFmt numFmtId="189" formatCode="[$-415]d\ mmmm\ yyyy"/>
    <numFmt numFmtId="190" formatCode="#,##0.0_ ;[Red]\-#,##0.0\ "/>
    <numFmt numFmtId="191" formatCode="#,##0_ ;[Red]\-#,##0\ "/>
    <numFmt numFmtId="192" formatCode="#,##0.000_ ;[Red]\-#,##0.000\ "/>
    <numFmt numFmtId="193" formatCode="#,##0.0000_ ;[Red]\-#,##0.0000\ "/>
    <numFmt numFmtId="194" formatCode="#,##0;[Red]#,##0"/>
    <numFmt numFmtId="195" formatCode="#,##0.000"/>
    <numFmt numFmtId="196" formatCode="00\-000"/>
    <numFmt numFmtId="197" formatCode="#,##0.00\ &quot;zł&quot;"/>
    <numFmt numFmtId="198" formatCode="#,##0\ &quot;zł&quot;"/>
    <numFmt numFmtId="199" formatCode="#,##0.0\ _z_ł;[Red]\-#,##0.0\ _z_ł"/>
    <numFmt numFmtId="200" formatCode="#,##0.000\ _z_ł;[Red]\-#,##0.000\ _z_ł"/>
    <numFmt numFmtId="201" formatCode="#,##0.0000"/>
    <numFmt numFmtId="202" formatCode="0.0000"/>
    <numFmt numFmtId="203" formatCode="0.000%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 Narrow"/>
      <family val="2"/>
    </font>
    <font>
      <sz val="10"/>
      <color indexed="23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2" fillId="0" borderId="0" xfId="55" applyFont="1" applyAlignme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22" fillId="0" borderId="0" xfId="55" applyFont="1" applyAlignment="1">
      <alignment horizontal="center"/>
      <protection/>
    </xf>
    <xf numFmtId="0" fontId="22" fillId="0" borderId="0" xfId="55" applyFont="1">
      <alignment/>
      <protection/>
    </xf>
    <xf numFmtId="0" fontId="24" fillId="0" borderId="0" xfId="55" applyFont="1" applyAlignment="1">
      <alignment horizontal="center"/>
      <protection/>
    </xf>
    <xf numFmtId="0" fontId="22" fillId="0" borderId="10" xfId="55" applyFont="1" applyBorder="1" applyAlignment="1" quotePrefix="1">
      <alignment horizontal="center" vertical="center" wrapText="1"/>
      <protection/>
    </xf>
    <xf numFmtId="1" fontId="22" fillId="0" borderId="10" xfId="55" applyNumberFormat="1" applyFont="1" applyBorder="1" applyAlignment="1" quotePrefix="1">
      <alignment horizontal="center" vertical="center" wrapText="1"/>
      <protection/>
    </xf>
    <xf numFmtId="3" fontId="22" fillId="0" borderId="10" xfId="55" applyNumberFormat="1" applyFont="1" applyBorder="1" applyAlignment="1">
      <alignment vertical="center" wrapText="1"/>
      <protection/>
    </xf>
    <xf numFmtId="3" fontId="22" fillId="0" borderId="10" xfId="55" applyNumberFormat="1" applyFont="1" applyBorder="1" applyAlignment="1">
      <alignment horizontal="right" vertical="center" wrapText="1"/>
      <protection/>
    </xf>
    <xf numFmtId="3" fontId="22" fillId="0" borderId="10" xfId="55" applyNumberFormat="1" applyFont="1" applyBorder="1" applyAlignment="1" quotePrefix="1">
      <alignment vertical="center" wrapText="1"/>
      <protection/>
    </xf>
    <xf numFmtId="3" fontId="22" fillId="0" borderId="10" xfId="55" applyNumberFormat="1" applyFont="1" applyBorder="1" applyAlignment="1">
      <alignment vertical="center"/>
      <protection/>
    </xf>
    <xf numFmtId="0" fontId="22" fillId="0" borderId="10" xfId="55" applyFont="1" applyBorder="1" applyAlignment="1">
      <alignment vertical="center"/>
      <protection/>
    </xf>
    <xf numFmtId="3" fontId="24" fillId="20" borderId="10" xfId="55" applyNumberFormat="1" applyFont="1" applyFill="1" applyBorder="1" applyAlignment="1">
      <alignment vertical="center"/>
      <protection/>
    </xf>
    <xf numFmtId="0" fontId="0" fillId="0" borderId="0" xfId="55" applyAlignment="1">
      <alignment horizontal="center"/>
      <protection/>
    </xf>
    <xf numFmtId="0" fontId="25" fillId="0" borderId="0" xfId="0" applyFont="1" applyAlignment="1">
      <alignment vertical="top"/>
    </xf>
    <xf numFmtId="0" fontId="26" fillId="0" borderId="0" xfId="0" applyFont="1" applyAlignment="1">
      <alignment/>
    </xf>
    <xf numFmtId="0" fontId="26" fillId="0" borderId="0" xfId="55" applyFont="1">
      <alignment/>
      <protection/>
    </xf>
    <xf numFmtId="3" fontId="22" fillId="0" borderId="11" xfId="55" applyNumberFormat="1" applyFont="1" applyBorder="1" applyAlignment="1">
      <alignment horizontal="right" vertical="center" wrapText="1"/>
      <protection/>
    </xf>
    <xf numFmtId="0" fontId="22" fillId="0" borderId="11" xfId="55" applyFont="1" applyBorder="1" applyAlignment="1">
      <alignment vertical="center"/>
      <protection/>
    </xf>
    <xf numFmtId="3" fontId="24" fillId="0" borderId="10" xfId="55" applyNumberFormat="1" applyFont="1" applyBorder="1" applyAlignment="1">
      <alignment vertical="center" wrapText="1"/>
      <protection/>
    </xf>
    <xf numFmtId="3" fontId="22" fillId="0" borderId="10" xfId="55" applyNumberFormat="1" applyFont="1" applyFill="1" applyBorder="1" applyAlignment="1">
      <alignment horizontal="right" vertical="center" wrapText="1"/>
      <protection/>
    </xf>
    <xf numFmtId="0" fontId="27" fillId="0" borderId="0" xfId="55" applyFont="1">
      <alignment/>
      <protection/>
    </xf>
    <xf numFmtId="3" fontId="24" fillId="20" borderId="10" xfId="55" applyNumberFormat="1" applyFont="1" applyFill="1" applyBorder="1" applyAlignment="1">
      <alignment vertical="center" wrapText="1"/>
      <protection/>
    </xf>
    <xf numFmtId="3" fontId="24" fillId="20" borderId="10" xfId="55" applyNumberFormat="1" applyFont="1" applyFill="1" applyBorder="1" applyAlignment="1">
      <alignment horizontal="right" vertical="center" wrapText="1"/>
      <protection/>
    </xf>
    <xf numFmtId="3" fontId="22" fillId="0" borderId="10" xfId="55" applyNumberFormat="1" applyFont="1" applyFill="1" applyBorder="1" applyAlignment="1">
      <alignment vertical="center"/>
      <protection/>
    </xf>
    <xf numFmtId="3" fontId="22" fillId="0" borderId="11" xfId="55" applyNumberFormat="1" applyFont="1" applyFill="1" applyBorder="1" applyAlignment="1">
      <alignment horizontal="right" vertical="center" wrapText="1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3" fontId="22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55" applyAlignment="1">
      <alignment horizontal="center" vertical="center"/>
      <protection/>
    </xf>
    <xf numFmtId="0" fontId="24" fillId="20" borderId="11" xfId="55" applyFont="1" applyFill="1" applyBorder="1" applyAlignment="1">
      <alignment vertical="center"/>
      <protection/>
    </xf>
    <xf numFmtId="0" fontId="22" fillId="24" borderId="10" xfId="55" applyFont="1" applyFill="1" applyBorder="1" applyAlignment="1" quotePrefix="1">
      <alignment horizontal="center" vertical="center" wrapText="1"/>
      <protection/>
    </xf>
    <xf numFmtId="3" fontId="24" fillId="20" borderId="11" xfId="55" applyNumberFormat="1" applyFont="1" applyFill="1" applyBorder="1" applyAlignment="1">
      <alignment vertical="center"/>
      <protection/>
    </xf>
    <xf numFmtId="0" fontId="22" fillId="25" borderId="12" xfId="54" applyFont="1" applyFill="1" applyBorder="1" applyAlignment="1">
      <alignment horizontal="left" vertical="center" wrapText="1"/>
      <protection/>
    </xf>
    <xf numFmtId="10" fontId="22" fillId="0" borderId="10" xfId="55" applyNumberFormat="1" applyFont="1" applyFill="1" applyBorder="1" applyAlignment="1">
      <alignment horizontal="right" vertical="center" wrapText="1"/>
      <protection/>
    </xf>
    <xf numFmtId="3" fontId="24" fillId="0" borderId="10" xfId="55" applyNumberFormat="1" applyFont="1" applyFill="1" applyBorder="1" applyAlignment="1">
      <alignment horizontal="right" vertical="center" wrapText="1"/>
      <protection/>
    </xf>
    <xf numFmtId="3" fontId="24" fillId="20" borderId="11" xfId="55" applyNumberFormat="1" applyFont="1" applyFill="1" applyBorder="1" applyAlignment="1">
      <alignment horizontal="right" vertical="center" wrapText="1"/>
      <protection/>
    </xf>
    <xf numFmtId="3" fontId="22" fillId="25" borderId="10" xfId="55" applyNumberFormat="1" applyFont="1" applyFill="1" applyBorder="1" applyAlignment="1">
      <alignment vertical="center" wrapText="1"/>
      <protection/>
    </xf>
    <xf numFmtId="0" fontId="0" fillId="0" borderId="0" xfId="55" applyFont="1">
      <alignment/>
      <protection/>
    </xf>
    <xf numFmtId="0" fontId="22" fillId="0" borderId="10" xfId="55" applyFont="1" applyBorder="1" applyAlignment="1">
      <alignment horizontal="center" vertical="center"/>
      <protection/>
    </xf>
    <xf numFmtId="49" fontId="24" fillId="20" borderId="10" xfId="0" applyNumberFormat="1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4" fillId="2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4" fillId="20" borderId="10" xfId="55" applyFont="1" applyFill="1" applyBorder="1" applyAlignment="1">
      <alignment vertical="center"/>
      <protection/>
    </xf>
    <xf numFmtId="0" fontId="22" fillId="0" borderId="10" xfId="55" applyFont="1" applyFill="1" applyBorder="1" applyAlignment="1">
      <alignment vertical="center"/>
      <protection/>
    </xf>
    <xf numFmtId="49" fontId="22" fillId="0" borderId="10" xfId="0" applyNumberFormat="1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20" borderId="10" xfId="55" applyNumberFormat="1" applyFont="1" applyFill="1" applyBorder="1" applyAlignment="1">
      <alignment horizontal="center" vertical="center" wrapText="1"/>
      <protection/>
    </xf>
    <xf numFmtId="0" fontId="0" fillId="25" borderId="0" xfId="55" applyFont="1" applyFill="1" applyAlignment="1">
      <alignment horizontal="center" vertical="center"/>
      <protection/>
    </xf>
    <xf numFmtId="49" fontId="22" fillId="25" borderId="10" xfId="55" applyNumberFormat="1" applyFont="1" applyFill="1" applyBorder="1" applyAlignment="1">
      <alignment horizontal="center" vertical="center" wrapText="1"/>
      <protection/>
    </xf>
    <xf numFmtId="49" fontId="22" fillId="25" borderId="10" xfId="55" applyNumberFormat="1" applyFont="1" applyFill="1" applyBorder="1" applyAlignment="1">
      <alignment horizontal="center" vertical="center"/>
      <protection/>
    </xf>
    <xf numFmtId="10" fontId="24" fillId="0" borderId="10" xfId="55" applyNumberFormat="1" applyFont="1" applyFill="1" applyBorder="1" applyAlignment="1">
      <alignment horizontal="right" vertical="center" wrapText="1"/>
      <protection/>
    </xf>
    <xf numFmtId="49" fontId="24" fillId="0" borderId="12" xfId="0" applyNumberFormat="1" applyFont="1" applyFill="1" applyBorder="1" applyAlignment="1">
      <alignment horizontal="center" vertical="center" wrapText="1"/>
    </xf>
    <xf numFmtId="3" fontId="24" fillId="0" borderId="12" xfId="55" applyNumberFormat="1" applyFont="1" applyFill="1" applyBorder="1" applyAlignment="1">
      <alignment horizontal="right" vertical="center" wrapText="1"/>
      <protection/>
    </xf>
    <xf numFmtId="49" fontId="24" fillId="0" borderId="14" xfId="0" applyNumberFormat="1" applyFont="1" applyFill="1" applyBorder="1" applyAlignment="1">
      <alignment horizontal="center" vertical="top" wrapText="1"/>
    </xf>
    <xf numFmtId="3" fontId="24" fillId="0" borderId="15" xfId="55" applyNumberFormat="1" applyFont="1" applyFill="1" applyBorder="1" applyAlignment="1">
      <alignment horizontal="right" vertical="center" wrapText="1"/>
      <protection/>
    </xf>
    <xf numFmtId="0" fontId="24" fillId="0" borderId="16" xfId="0" applyFont="1" applyFill="1" applyBorder="1" applyAlignment="1">
      <alignment horizontal="center" vertical="center" wrapText="1"/>
    </xf>
    <xf numFmtId="3" fontId="28" fillId="0" borderId="10" xfId="55" applyNumberFormat="1" applyFont="1" applyFill="1" applyBorder="1" applyAlignment="1">
      <alignment horizontal="right" vertical="center" wrapText="1"/>
      <protection/>
    </xf>
    <xf numFmtId="0" fontId="22" fillId="0" borderId="11" xfId="55" applyFont="1" applyBorder="1" applyAlignment="1">
      <alignment horizontal="center" vertical="center"/>
      <protection/>
    </xf>
    <xf numFmtId="3" fontId="24" fillId="20" borderId="11" xfId="55" applyNumberFormat="1" applyFont="1" applyFill="1" applyBorder="1" applyAlignment="1">
      <alignment vertical="center" wrapText="1"/>
      <protection/>
    </xf>
    <xf numFmtId="3" fontId="22" fillId="0" borderId="11" xfId="55" applyNumberFormat="1" applyFont="1" applyBorder="1" applyAlignment="1" quotePrefix="1">
      <alignment vertical="center" wrapText="1"/>
      <protection/>
    </xf>
    <xf numFmtId="3" fontId="22" fillId="0" borderId="11" xfId="55" applyNumberFormat="1" applyFont="1" applyBorder="1" applyAlignment="1">
      <alignment vertical="center"/>
      <protection/>
    </xf>
    <xf numFmtId="3" fontId="22" fillId="0" borderId="11" xfId="55" applyNumberFormat="1" applyFont="1" applyBorder="1" applyAlignment="1">
      <alignment vertical="center" wrapText="1"/>
      <protection/>
    </xf>
    <xf numFmtId="3" fontId="22" fillId="25" borderId="11" xfId="55" applyNumberFormat="1" applyFont="1" applyFill="1" applyBorder="1" applyAlignment="1">
      <alignment vertical="center" wrapText="1"/>
      <protection/>
    </xf>
    <xf numFmtId="3" fontId="24" fillId="0" borderId="11" xfId="55" applyNumberFormat="1" applyFont="1" applyBorder="1" applyAlignment="1">
      <alignment vertical="center" wrapText="1"/>
      <protection/>
    </xf>
    <xf numFmtId="3" fontId="22" fillId="0" borderId="11" xfId="55" applyNumberFormat="1" applyFont="1" applyFill="1" applyBorder="1" applyAlignment="1">
      <alignment vertical="center"/>
      <protection/>
    </xf>
    <xf numFmtId="0" fontId="22" fillId="0" borderId="11" xfId="55" applyFont="1" applyFill="1" applyBorder="1" applyAlignment="1">
      <alignment vertical="center"/>
      <protection/>
    </xf>
    <xf numFmtId="10" fontId="22" fillId="0" borderId="11" xfId="55" applyNumberFormat="1" applyFont="1" applyFill="1" applyBorder="1" applyAlignment="1">
      <alignment horizontal="right" vertical="center" wrapText="1"/>
      <protection/>
    </xf>
    <xf numFmtId="10" fontId="24" fillId="0" borderId="11" xfId="55" applyNumberFormat="1" applyFont="1" applyFill="1" applyBorder="1" applyAlignment="1">
      <alignment horizontal="right" vertical="center" wrapText="1"/>
      <protection/>
    </xf>
    <xf numFmtId="49" fontId="24" fillId="20" borderId="11" xfId="55" applyNumberFormat="1" applyFont="1" applyFill="1" applyBorder="1" applyAlignment="1">
      <alignment horizontal="center" vertical="center" wrapText="1"/>
      <protection/>
    </xf>
    <xf numFmtId="49" fontId="22" fillId="25" borderId="11" xfId="55" applyNumberFormat="1" applyFont="1" applyFill="1" applyBorder="1" applyAlignment="1">
      <alignment horizontal="center" vertical="center"/>
      <protection/>
    </xf>
    <xf numFmtId="3" fontId="24" fillId="0" borderId="11" xfId="55" applyNumberFormat="1" applyFont="1" applyFill="1" applyBorder="1" applyAlignment="1">
      <alignment horizontal="right" vertical="center" wrapText="1"/>
      <protection/>
    </xf>
    <xf numFmtId="3" fontId="24" fillId="0" borderId="17" xfId="55" applyNumberFormat="1" applyFont="1" applyFill="1" applyBorder="1" applyAlignment="1">
      <alignment horizontal="right" vertical="center" wrapText="1"/>
      <protection/>
    </xf>
    <xf numFmtId="3" fontId="24" fillId="0" borderId="18" xfId="55" applyNumberFormat="1" applyFont="1" applyFill="1" applyBorder="1" applyAlignment="1">
      <alignment horizontal="right" vertical="center" wrapText="1"/>
      <protection/>
    </xf>
    <xf numFmtId="0" fontId="24" fillId="0" borderId="11" xfId="55" applyFont="1" applyBorder="1" applyAlignment="1">
      <alignment vertical="center" wrapText="1"/>
      <protection/>
    </xf>
    <xf numFmtId="0" fontId="22" fillId="0" borderId="10" xfId="55" applyFont="1" applyBorder="1">
      <alignment/>
      <protection/>
    </xf>
    <xf numFmtId="0" fontId="22" fillId="0" borderId="11" xfId="55" applyFont="1" applyBorder="1">
      <alignment/>
      <protection/>
    </xf>
    <xf numFmtId="0" fontId="22" fillId="21" borderId="10" xfId="55" applyFont="1" applyFill="1" applyBorder="1">
      <alignment/>
      <protection/>
    </xf>
    <xf numFmtId="0" fontId="22" fillId="21" borderId="11" xfId="55" applyFont="1" applyFill="1" applyBorder="1">
      <alignment/>
      <protection/>
    </xf>
    <xf numFmtId="0" fontId="22" fillId="25" borderId="10" xfId="55" applyFont="1" applyFill="1" applyBorder="1" applyAlignment="1">
      <alignment horizontal="center" vertical="center"/>
      <protection/>
    </xf>
    <xf numFmtId="0" fontId="22" fillId="25" borderId="11" xfId="55" applyFont="1" applyFill="1" applyBorder="1" applyAlignment="1">
      <alignment horizontal="center" vertical="center"/>
      <protection/>
    </xf>
    <xf numFmtId="0" fontId="22" fillId="0" borderId="10" xfId="55" applyFont="1" applyBorder="1" applyAlignment="1">
      <alignment horizontal="center"/>
      <protection/>
    </xf>
    <xf numFmtId="0" fontId="22" fillId="0" borderId="11" xfId="55" applyFont="1" applyBorder="1" applyAlignment="1">
      <alignment horizontal="center"/>
      <protection/>
    </xf>
    <xf numFmtId="3" fontId="22" fillId="25" borderId="10" xfId="55" applyNumberFormat="1" applyFont="1" applyFill="1" applyBorder="1" applyAlignment="1">
      <alignment horizontal="right" vertical="center" wrapText="1"/>
      <protection/>
    </xf>
    <xf numFmtId="0" fontId="24" fillId="21" borderId="10" xfId="55" applyFont="1" applyFill="1" applyBorder="1" applyAlignment="1">
      <alignment horizontal="center" vertical="center"/>
      <protection/>
    </xf>
    <xf numFmtId="0" fontId="24" fillId="21" borderId="11" xfId="55" applyFont="1" applyFill="1" applyBorder="1" applyAlignment="1">
      <alignment horizontal="center" vertical="center"/>
      <protection/>
    </xf>
    <xf numFmtId="3" fontId="24" fillId="0" borderId="19" xfId="55" applyNumberFormat="1" applyFont="1" applyFill="1" applyBorder="1" applyAlignment="1">
      <alignment horizontal="right" vertical="center" wrapText="1"/>
      <protection/>
    </xf>
    <xf numFmtId="3" fontId="24" fillId="21" borderId="10" xfId="55" applyNumberFormat="1" applyFont="1" applyFill="1" applyBorder="1">
      <alignment/>
      <protection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0" fontId="0" fillId="0" borderId="0" xfId="55" applyFont="1" applyBorder="1">
      <alignment/>
      <protection/>
    </xf>
    <xf numFmtId="0" fontId="24" fillId="0" borderId="0" xfId="55" applyFont="1">
      <alignment/>
      <protection/>
    </xf>
    <xf numFmtId="0" fontId="24" fillId="25" borderId="10" xfId="55" applyFont="1" applyFill="1" applyBorder="1" applyAlignment="1">
      <alignment horizontal="center" vertical="center" wrapText="1"/>
      <protection/>
    </xf>
    <xf numFmtId="0" fontId="22" fillId="0" borderId="10" xfId="55" applyFont="1" applyBorder="1" applyAlignment="1">
      <alignment horizontal="center" vertical="center" wrapText="1"/>
      <protection/>
    </xf>
    <xf numFmtId="9" fontId="0" fillId="0" borderId="10" xfId="55" applyNumberFormat="1" applyFont="1" applyBorder="1">
      <alignment/>
      <protection/>
    </xf>
    <xf numFmtId="3" fontId="22" fillId="25" borderId="0" xfId="55" applyNumberFormat="1" applyFont="1" applyFill="1" applyBorder="1" applyAlignment="1">
      <alignment horizontal="left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4" fillId="25" borderId="0" xfId="55" applyFont="1" applyFill="1" applyBorder="1" applyAlignment="1">
      <alignment vertical="center" wrapText="1"/>
      <protection/>
    </xf>
    <xf numFmtId="0" fontId="24" fillId="25" borderId="21" xfId="55" applyFont="1" applyFill="1" applyBorder="1" applyAlignment="1">
      <alignment vertical="center" wrapText="1"/>
      <protection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3" fillId="25" borderId="0" xfId="55" applyFont="1" applyFill="1" applyBorder="1" applyAlignment="1">
      <alignment vertical="center"/>
      <protection/>
    </xf>
    <xf numFmtId="0" fontId="0" fillId="0" borderId="0" xfId="55" applyBorder="1">
      <alignment/>
      <protection/>
    </xf>
    <xf numFmtId="3" fontId="22" fillId="21" borderId="10" xfId="55" applyNumberFormat="1" applyFont="1" applyFill="1" applyBorder="1" applyAlignment="1">
      <alignment horizontal="right" vertical="center" wrapText="1"/>
      <protection/>
    </xf>
    <xf numFmtId="3" fontId="22" fillId="21" borderId="10" xfId="55" applyNumberFormat="1" applyFont="1" applyFill="1" applyBorder="1" applyAlignment="1">
      <alignment vertical="center"/>
      <protection/>
    </xf>
    <xf numFmtId="3" fontId="22" fillId="21" borderId="11" xfId="55" applyNumberFormat="1" applyFont="1" applyFill="1" applyBorder="1" applyAlignment="1">
      <alignment vertical="center"/>
      <protection/>
    </xf>
    <xf numFmtId="10" fontId="0" fillId="0" borderId="10" xfId="55" applyNumberFormat="1" applyFont="1" applyBorder="1">
      <alignment/>
      <protection/>
    </xf>
    <xf numFmtId="10" fontId="0" fillId="20" borderId="10" xfId="55" applyNumberFormat="1" applyFont="1" applyFill="1" applyBorder="1">
      <alignment/>
      <protection/>
    </xf>
    <xf numFmtId="3" fontId="22" fillId="25" borderId="10" xfId="55" applyNumberFormat="1" applyFont="1" applyFill="1" applyBorder="1" applyAlignment="1">
      <alignment vertical="center"/>
      <protection/>
    </xf>
    <xf numFmtId="3" fontId="22" fillId="25" borderId="11" xfId="55" applyNumberFormat="1" applyFont="1" applyFill="1" applyBorder="1" applyAlignment="1">
      <alignment vertical="center"/>
      <protection/>
    </xf>
    <xf numFmtId="3" fontId="22" fillId="0" borderId="10" xfId="55" applyNumberFormat="1" applyFont="1" applyBorder="1">
      <alignment/>
      <protection/>
    </xf>
    <xf numFmtId="3" fontId="22" fillId="0" borderId="10" xfId="55" applyNumberFormat="1" applyFont="1" applyFill="1" applyBorder="1" applyAlignment="1">
      <alignment horizontal="center" vertical="center" wrapText="1"/>
      <protection/>
    </xf>
    <xf numFmtId="3" fontId="22" fillId="0" borderId="12" xfId="55" applyNumberFormat="1" applyFont="1" applyBorder="1" applyAlignment="1">
      <alignment horizontal="right" vertical="center" wrapText="1"/>
      <protection/>
    </xf>
    <xf numFmtId="3" fontId="24" fillId="20" borderId="13" xfId="55" applyNumberFormat="1" applyFont="1" applyFill="1" applyBorder="1" applyAlignment="1">
      <alignment horizontal="right" vertical="center" wrapText="1"/>
      <protection/>
    </xf>
    <xf numFmtId="0" fontId="24" fillId="0" borderId="22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9" fillId="21" borderId="13" xfId="55" applyFont="1" applyFill="1" applyBorder="1" applyAlignment="1">
      <alignment horizontal="center" vertical="center"/>
      <protection/>
    </xf>
    <xf numFmtId="0" fontId="29" fillId="21" borderId="23" xfId="55" applyFont="1" applyFill="1" applyBorder="1" applyAlignment="1">
      <alignment horizontal="center" vertical="center"/>
      <protection/>
    </xf>
    <xf numFmtId="0" fontId="22" fillId="21" borderId="13" xfId="55" applyFont="1" applyFill="1" applyBorder="1" applyAlignment="1">
      <alignment horizontal="center" vertical="center"/>
      <protection/>
    </xf>
    <xf numFmtId="3" fontId="22" fillId="0" borderId="0" xfId="55" applyNumberFormat="1" applyFont="1" applyFill="1" applyBorder="1" applyAlignment="1">
      <alignment horizontal="center" vertical="center" wrapText="1"/>
      <protection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4" fillId="20" borderId="13" xfId="55" applyNumberFormat="1" applyFont="1" applyFill="1" applyBorder="1" applyAlignment="1">
      <alignment horizontal="center" vertical="center" wrapText="1"/>
      <protection/>
    </xf>
    <xf numFmtId="49" fontId="24" fillId="20" borderId="23" xfId="55" applyNumberFormat="1" applyFont="1" applyFill="1" applyBorder="1" applyAlignment="1">
      <alignment horizontal="center" vertical="center" wrapText="1"/>
      <protection/>
    </xf>
    <xf numFmtId="0" fontId="22" fillId="0" borderId="0" xfId="55" applyFont="1" applyAlignment="1">
      <alignment horizontal="left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24" fillId="0" borderId="13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4" fillId="0" borderId="24" xfId="55" applyFont="1" applyBorder="1" applyAlignment="1">
      <alignment horizontal="center" vertical="center" wrapText="1"/>
      <protection/>
    </xf>
    <xf numFmtId="0" fontId="24" fillId="0" borderId="25" xfId="55" applyFont="1" applyBorder="1" applyAlignment="1">
      <alignment horizontal="center" vertical="center" wrapText="1"/>
      <protection/>
    </xf>
    <xf numFmtId="0" fontId="22" fillId="0" borderId="0" xfId="55" applyFont="1" applyAlignment="1">
      <alignment horizontal="right"/>
      <protection/>
    </xf>
    <xf numFmtId="0" fontId="22" fillId="0" borderId="21" xfId="55" applyFont="1" applyBorder="1" applyAlignment="1">
      <alignment horizontal="right"/>
      <protection/>
    </xf>
    <xf numFmtId="0" fontId="24" fillId="25" borderId="11" xfId="55" applyFont="1" applyFill="1" applyBorder="1" applyAlignment="1">
      <alignment horizontal="center" vertical="center" wrapText="1"/>
      <protection/>
    </xf>
    <xf numFmtId="0" fontId="24" fillId="25" borderId="25" xfId="55" applyFont="1" applyFill="1" applyBorder="1" applyAlignment="1">
      <alignment horizontal="center" vertical="center" wrapText="1"/>
      <protection/>
    </xf>
    <xf numFmtId="0" fontId="0" fillId="0" borderId="26" xfId="55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3" fontId="22" fillId="25" borderId="26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24" fillId="0" borderId="10" xfId="55" applyFont="1" applyBorder="1" applyAlignment="1">
      <alignment horizontal="center" vertical="center" wrapText="1"/>
      <protection/>
    </xf>
    <xf numFmtId="0" fontId="22" fillId="0" borderId="10" xfId="55" applyFont="1" applyBorder="1" applyAlignment="1">
      <alignment vertical="center"/>
      <protection/>
    </xf>
    <xf numFmtId="3" fontId="22" fillId="25" borderId="27" xfId="55" applyNumberFormat="1" applyFont="1" applyFill="1" applyBorder="1" applyAlignment="1">
      <alignment horizontal="left" vertical="center" wrapText="1"/>
      <protection/>
    </xf>
    <xf numFmtId="0" fontId="0" fillId="0" borderId="27" xfId="0" applyBorder="1" applyAlignment="1">
      <alignment/>
    </xf>
    <xf numFmtId="3" fontId="22" fillId="25" borderId="0" xfId="55" applyNumberFormat="1" applyFont="1" applyFill="1" applyBorder="1" applyAlignment="1">
      <alignment horizontal="left" vertical="center" wrapText="1"/>
      <protection/>
    </xf>
    <xf numFmtId="49" fontId="24" fillId="20" borderId="10" xfId="0" applyNumberFormat="1" applyFont="1" applyFill="1" applyBorder="1" applyAlignment="1">
      <alignment horizontal="center" vertical="center" wrapText="1"/>
    </xf>
    <xf numFmtId="49" fontId="24" fillId="20" borderId="26" xfId="0" applyNumberFormat="1" applyFont="1" applyFill="1" applyBorder="1" applyAlignment="1">
      <alignment horizontal="center" vertical="center" wrapText="1"/>
    </xf>
    <xf numFmtId="49" fontId="24" fillId="20" borderId="23" xfId="0" applyNumberFormat="1" applyFont="1" applyFill="1" applyBorder="1" applyAlignment="1">
      <alignment horizontal="center" vertical="center" wrapText="1"/>
    </xf>
    <xf numFmtId="49" fontId="24" fillId="20" borderId="20" xfId="55" applyNumberFormat="1" applyFont="1" applyFill="1" applyBorder="1" applyAlignment="1">
      <alignment horizontal="center" vertical="center" wrapText="1"/>
      <protection/>
    </xf>
    <xf numFmtId="3" fontId="22" fillId="25" borderId="17" xfId="55" applyNumberFormat="1" applyFont="1" applyFill="1" applyBorder="1" applyAlignment="1">
      <alignment horizontal="left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dochody 2009" xfId="54"/>
    <cellStyle name="Normalny_prognoza obsługi długu" xfId="55"/>
    <cellStyle name="Obliczenia" xfId="56"/>
    <cellStyle name="Followed Hyperlink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5"/>
  <sheetViews>
    <sheetView tabSelected="1" zoomScaleSheetLayoutView="33" zoomScalePageLayoutView="72" workbookViewId="0" topLeftCell="A1">
      <selection activeCell="E5" sqref="E5:S5"/>
    </sheetView>
  </sheetViews>
  <sheetFormatPr defaultColWidth="9.140625" defaultRowHeight="12.75"/>
  <cols>
    <col min="1" max="1" width="4.57421875" style="15" customWidth="1"/>
    <col min="2" max="2" width="28.57421875" style="3" customWidth="1"/>
    <col min="3" max="4" width="9.28125" style="3" customWidth="1"/>
    <col min="5" max="5" width="8.7109375" style="3" customWidth="1"/>
    <col min="6" max="6" width="8.8515625" style="3" customWidth="1"/>
    <col min="7" max="7" width="9.00390625" style="3" customWidth="1"/>
    <col min="8" max="8" width="8.57421875" style="3" customWidth="1"/>
    <col min="9" max="9" width="9.421875" style="3" customWidth="1"/>
    <col min="10" max="10" width="10.00390625" style="3" customWidth="1"/>
    <col min="11" max="11" width="9.7109375" style="3" customWidth="1"/>
    <col min="12" max="12" width="9.57421875" style="3" customWidth="1"/>
    <col min="13" max="13" width="10.57421875" style="3" bestFit="1" customWidth="1"/>
    <col min="14" max="17" width="10.7109375" style="3" bestFit="1" customWidth="1"/>
    <col min="18" max="19" width="10.57421875" style="3" bestFit="1" customWidth="1"/>
    <col min="20" max="20" width="4.57421875" style="3" customWidth="1"/>
    <col min="21" max="21" width="29.7109375" style="3" customWidth="1"/>
    <col min="22" max="24" width="9.28125" style="3" bestFit="1" customWidth="1"/>
    <col min="25" max="16384" width="9.140625" style="3" customWidth="1"/>
  </cols>
  <sheetData>
    <row r="1" spans="1:19" ht="12" customHeight="1">
      <c r="A1" s="4"/>
      <c r="B1" s="5"/>
      <c r="C1" s="5"/>
      <c r="D1" s="5"/>
      <c r="E1" s="1"/>
      <c r="F1" s="141"/>
      <c r="G1" s="141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7" ht="12.75" customHeight="1">
      <c r="A2" s="4"/>
      <c r="B2" s="5"/>
      <c r="C2" s="5"/>
      <c r="D2" s="5"/>
      <c r="E2" s="2"/>
      <c r="F2" s="141"/>
      <c r="G2" s="141"/>
    </row>
    <row r="3" spans="1:37" ht="17.25" customHeight="1">
      <c r="A3" s="4"/>
      <c r="B3" s="16" t="s">
        <v>151</v>
      </c>
      <c r="C3" s="17"/>
      <c r="D3" s="17"/>
      <c r="E3" s="17"/>
      <c r="F3" s="17"/>
      <c r="G3" s="17"/>
      <c r="H3" s="18"/>
      <c r="I3" s="18"/>
      <c r="J3" s="18"/>
      <c r="K3" s="18"/>
      <c r="L3" s="18"/>
      <c r="S3" s="115"/>
      <c r="T3" s="114" t="s">
        <v>128</v>
      </c>
      <c r="U3" s="111"/>
      <c r="V3" s="109"/>
      <c r="W3" s="109"/>
      <c r="X3" s="101"/>
      <c r="Y3" s="101"/>
      <c r="Z3" s="101"/>
      <c r="AA3" s="101"/>
      <c r="AB3" s="101"/>
      <c r="AC3" s="39"/>
      <c r="AD3" s="102"/>
      <c r="AE3"/>
      <c r="AF3"/>
      <c r="AG3"/>
      <c r="AH3"/>
      <c r="AI3"/>
      <c r="AJ3"/>
      <c r="AK3"/>
    </row>
    <row r="4" spans="1:37" ht="12" customHeight="1">
      <c r="A4" s="6"/>
      <c r="B4" s="6"/>
      <c r="C4" s="6"/>
      <c r="D4" s="6"/>
      <c r="E4" s="6"/>
      <c r="F4" s="6"/>
      <c r="G4" s="4"/>
      <c r="L4" s="148" t="s">
        <v>92</v>
      </c>
      <c r="M4" s="148"/>
      <c r="N4" s="148"/>
      <c r="O4" s="148"/>
      <c r="P4" s="148"/>
      <c r="Q4" s="148"/>
      <c r="R4" s="148"/>
      <c r="S4" s="148"/>
      <c r="T4" s="112"/>
      <c r="U4" s="112"/>
      <c r="V4" s="110"/>
      <c r="W4" s="110"/>
      <c r="X4" s="101"/>
      <c r="Y4" s="101"/>
      <c r="Z4" s="101"/>
      <c r="AA4" s="101"/>
      <c r="AB4" s="101"/>
      <c r="AC4" s="39"/>
      <c r="AD4" s="39"/>
      <c r="AE4"/>
      <c r="AF4"/>
      <c r="AG4"/>
      <c r="AH4"/>
      <c r="AI4"/>
      <c r="AJ4"/>
      <c r="AK4"/>
    </row>
    <row r="5" spans="1:37" ht="29.25" customHeight="1">
      <c r="A5" s="159" t="s">
        <v>90</v>
      </c>
      <c r="B5" s="160"/>
      <c r="C5" s="142" t="s">
        <v>150</v>
      </c>
      <c r="D5" s="85" t="s">
        <v>113</v>
      </c>
      <c r="E5" s="144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6"/>
      <c r="T5" s="149" t="s">
        <v>90</v>
      </c>
      <c r="U5" s="150"/>
      <c r="V5" s="104" t="s">
        <v>129</v>
      </c>
      <c r="W5" s="104" t="s">
        <v>130</v>
      </c>
      <c r="X5" s="104" t="s">
        <v>131</v>
      </c>
      <c r="Y5" s="104" t="s">
        <v>132</v>
      </c>
      <c r="Z5" s="104" t="s">
        <v>133</v>
      </c>
      <c r="AA5" s="104" t="s">
        <v>134</v>
      </c>
      <c r="AB5" s="104" t="s">
        <v>135</v>
      </c>
      <c r="AC5" s="104" t="s">
        <v>136</v>
      </c>
      <c r="AD5" s="104" t="s">
        <v>137</v>
      </c>
      <c r="AE5" s="113" t="s">
        <v>139</v>
      </c>
      <c r="AF5" s="113" t="s">
        <v>140</v>
      </c>
      <c r="AG5" s="113" t="s">
        <v>141</v>
      </c>
      <c r="AH5" s="113" t="s">
        <v>142</v>
      </c>
      <c r="AI5" s="113" t="s">
        <v>143</v>
      </c>
      <c r="AJ5" s="113" t="s">
        <v>144</v>
      </c>
      <c r="AK5" s="113" t="s">
        <v>145</v>
      </c>
    </row>
    <row r="6" spans="1:37" ht="21.75" customHeight="1">
      <c r="A6" s="160"/>
      <c r="B6" s="160"/>
      <c r="C6" s="143"/>
      <c r="D6" s="7">
        <v>2012</v>
      </c>
      <c r="E6" s="8">
        <v>2013</v>
      </c>
      <c r="F6" s="32">
        <v>2014</v>
      </c>
      <c r="G6" s="8">
        <v>2015</v>
      </c>
      <c r="H6" s="40">
        <v>2016</v>
      </c>
      <c r="I6" s="40">
        <v>2017</v>
      </c>
      <c r="J6" s="40">
        <v>2018</v>
      </c>
      <c r="K6" s="40">
        <v>2019</v>
      </c>
      <c r="L6" s="69">
        <v>2020</v>
      </c>
      <c r="M6" s="92">
        <v>2021</v>
      </c>
      <c r="N6" s="92">
        <v>2022</v>
      </c>
      <c r="O6" s="92">
        <v>2023</v>
      </c>
      <c r="P6" s="93">
        <v>2024</v>
      </c>
      <c r="Q6" s="92">
        <v>2025</v>
      </c>
      <c r="R6" s="92">
        <v>2026</v>
      </c>
      <c r="S6" s="92">
        <v>2027</v>
      </c>
      <c r="T6" s="103"/>
      <c r="U6" s="103"/>
      <c r="V6" s="104"/>
      <c r="W6" s="104"/>
      <c r="X6" s="104"/>
      <c r="Y6" s="104"/>
      <c r="Z6" s="104"/>
      <c r="AA6" s="104"/>
      <c r="AB6" s="104"/>
      <c r="AC6" s="104"/>
      <c r="AD6" s="104"/>
      <c r="AE6" s="107"/>
      <c r="AF6" s="107"/>
      <c r="AG6" s="107"/>
      <c r="AH6" s="107"/>
      <c r="AI6" s="107"/>
      <c r="AJ6" s="107"/>
      <c r="AK6" s="107"/>
    </row>
    <row r="7" spans="1:37" ht="29.25" customHeight="1">
      <c r="A7" s="41" t="s">
        <v>120</v>
      </c>
      <c r="B7" s="42" t="s">
        <v>2</v>
      </c>
      <c r="C7" s="24">
        <f>C8+C12</f>
        <v>99281312</v>
      </c>
      <c r="D7" s="24">
        <f aca="true" t="shared" si="0" ref="D7:S7">D8+D12</f>
        <v>99114974.99499999</v>
      </c>
      <c r="E7" s="24">
        <f t="shared" si="0"/>
        <v>94044954.436325</v>
      </c>
      <c r="F7" s="24">
        <f t="shared" si="0"/>
        <v>95223899.20338212</v>
      </c>
      <c r="G7" s="24">
        <f t="shared" si="0"/>
        <v>95661962.69642341</v>
      </c>
      <c r="H7" s="24">
        <f t="shared" si="0"/>
        <v>97815198.01920146</v>
      </c>
      <c r="I7" s="24">
        <f t="shared" si="0"/>
        <v>100585652.6285945</v>
      </c>
      <c r="J7" s="24">
        <f t="shared" si="0"/>
        <v>101823569.02146947</v>
      </c>
      <c r="K7" s="24">
        <f t="shared" si="0"/>
        <v>103129193.17422202</v>
      </c>
      <c r="L7" s="70">
        <f t="shared" si="0"/>
        <v>102452774.59339018</v>
      </c>
      <c r="M7" s="70">
        <f t="shared" si="0"/>
        <v>103744566.3670114</v>
      </c>
      <c r="N7" s="70">
        <f t="shared" si="0"/>
        <v>104824825.21673416</v>
      </c>
      <c r="O7" s="70">
        <f t="shared" si="0"/>
        <v>106183811.55069491</v>
      </c>
      <c r="P7" s="70">
        <f t="shared" si="0"/>
        <v>107866789.51717219</v>
      </c>
      <c r="Q7" s="70">
        <f t="shared" si="0"/>
        <v>109749027.05902879</v>
      </c>
      <c r="R7" s="70">
        <f t="shared" si="0"/>
        <v>111485795.96895425</v>
      </c>
      <c r="S7" s="24">
        <f t="shared" si="0"/>
        <v>111592371.94551896</v>
      </c>
      <c r="T7" s="41" t="s">
        <v>120</v>
      </c>
      <c r="U7" s="42" t="s">
        <v>2</v>
      </c>
      <c r="V7" s="120">
        <f>D7/C7</f>
        <v>0.998324588971991</v>
      </c>
      <c r="W7" s="120">
        <f aca="true" t="shared" si="1" ref="W7:AK14">E7/D7</f>
        <v>0.9488470782651082</v>
      </c>
      <c r="X7" s="120">
        <f t="shared" si="1"/>
        <v>1.01253597042099</v>
      </c>
      <c r="Y7" s="120">
        <f t="shared" si="1"/>
        <v>1.004600352397938</v>
      </c>
      <c r="Z7" s="120">
        <f t="shared" si="1"/>
        <v>1.0225087930676395</v>
      </c>
      <c r="AA7" s="120">
        <f t="shared" si="1"/>
        <v>1.0283233553220348</v>
      </c>
      <c r="AB7" s="120">
        <f t="shared" si="1"/>
        <v>1.012307087149356</v>
      </c>
      <c r="AC7" s="120">
        <f t="shared" si="1"/>
        <v>1.0128224159229506</v>
      </c>
      <c r="AD7" s="120">
        <f t="shared" si="1"/>
        <v>0.9934410562129665</v>
      </c>
      <c r="AE7" s="120">
        <f t="shared" si="1"/>
        <v>1.0126086558294591</v>
      </c>
      <c r="AF7" s="120">
        <f t="shared" si="1"/>
        <v>1.010412678827932</v>
      </c>
      <c r="AG7" s="120">
        <f t="shared" si="1"/>
        <v>1.0129643558303192</v>
      </c>
      <c r="AH7" s="120">
        <f t="shared" si="1"/>
        <v>1.0158496661769745</v>
      </c>
      <c r="AI7" s="120">
        <f t="shared" si="1"/>
        <v>1.017449648314201</v>
      </c>
      <c r="AJ7" s="120">
        <f t="shared" si="1"/>
        <v>1.0158249139556503</v>
      </c>
      <c r="AK7" s="120">
        <f t="shared" si="1"/>
        <v>1.0009559601349969</v>
      </c>
    </row>
    <row r="8" spans="1:37" ht="15.75" customHeight="1">
      <c r="A8" s="43" t="s">
        <v>9</v>
      </c>
      <c r="B8" s="44" t="s">
        <v>97</v>
      </c>
      <c r="C8" s="11">
        <f>C9+C10+C11</f>
        <v>86150967</v>
      </c>
      <c r="D8" s="11">
        <f>D9+D10+D11</f>
        <v>88407439.99499999</v>
      </c>
      <c r="E8" s="11">
        <f aca="true" t="shared" si="2" ref="E8:S8">E9+E10+E11</f>
        <v>90735301.436325</v>
      </c>
      <c r="F8" s="11">
        <f t="shared" si="2"/>
        <v>92539246.20338212</v>
      </c>
      <c r="G8" s="11">
        <f t="shared" si="2"/>
        <v>94077309.69642341</v>
      </c>
      <c r="H8" s="11">
        <f t="shared" si="2"/>
        <v>95330545.01920146</v>
      </c>
      <c r="I8" s="11">
        <f t="shared" si="2"/>
        <v>96600999.6285945</v>
      </c>
      <c r="J8" s="11">
        <f t="shared" si="2"/>
        <v>97888916.02146947</v>
      </c>
      <c r="K8" s="11">
        <f t="shared" si="2"/>
        <v>99194540.17422202</v>
      </c>
      <c r="L8" s="71">
        <f t="shared" si="2"/>
        <v>100518121.59339018</v>
      </c>
      <c r="M8" s="71">
        <f t="shared" si="2"/>
        <v>101859913.3670114</v>
      </c>
      <c r="N8" s="71">
        <f t="shared" si="2"/>
        <v>103220172.21673416</v>
      </c>
      <c r="O8" s="71">
        <f t="shared" si="2"/>
        <v>104599158.55069491</v>
      </c>
      <c r="P8" s="71">
        <f t="shared" si="2"/>
        <v>105997136.51717219</v>
      </c>
      <c r="Q8" s="71">
        <f t="shared" si="2"/>
        <v>107414374.05902879</v>
      </c>
      <c r="R8" s="71">
        <f t="shared" si="2"/>
        <v>108851142.96895425</v>
      </c>
      <c r="S8" s="11">
        <f t="shared" si="2"/>
        <v>110307718.94551896</v>
      </c>
      <c r="T8" s="43" t="s">
        <v>9</v>
      </c>
      <c r="U8" s="44" t="s">
        <v>97</v>
      </c>
      <c r="V8" s="119">
        <f>D8/C8</f>
        <v>1.0261920797128137</v>
      </c>
      <c r="W8" s="119">
        <f t="shared" si="1"/>
        <v>1.0263310581265181</v>
      </c>
      <c r="X8" s="119">
        <f t="shared" si="1"/>
        <v>1.0198813993947335</v>
      </c>
      <c r="Y8" s="119">
        <f t="shared" si="1"/>
        <v>1.016620661569481</v>
      </c>
      <c r="Z8" s="119">
        <f t="shared" si="1"/>
        <v>1.0133213346217285</v>
      </c>
      <c r="AA8" s="119">
        <f t="shared" si="1"/>
        <v>1.013326836735667</v>
      </c>
      <c r="AB8" s="119">
        <f t="shared" si="1"/>
        <v>1.0133323298705672</v>
      </c>
      <c r="AC8" s="119">
        <f t="shared" si="1"/>
        <v>1.0133378139815767</v>
      </c>
      <c r="AD8" s="119">
        <f t="shared" si="1"/>
        <v>1.0133432890242091</v>
      </c>
      <c r="AE8" s="119">
        <f t="shared" si="1"/>
        <v>1.013348754954345</v>
      </c>
      <c r="AF8" s="119">
        <f t="shared" si="1"/>
        <v>1.013354211728235</v>
      </c>
      <c r="AG8" s="119">
        <f t="shared" si="1"/>
        <v>1.0133596593024983</v>
      </c>
      <c r="AH8" s="119">
        <f t="shared" si="1"/>
        <v>1.0133650976341242</v>
      </c>
      <c r="AI8" s="119">
        <f t="shared" si="1"/>
        <v>1.0133705266804731</v>
      </c>
      <c r="AJ8" s="119">
        <f t="shared" si="1"/>
        <v>1.013375946399277</v>
      </c>
      <c r="AK8" s="119">
        <f t="shared" si="1"/>
        <v>1.0133813567486392</v>
      </c>
    </row>
    <row r="9" spans="1:37" ht="15.75" customHeight="1">
      <c r="A9" s="43" t="s">
        <v>11</v>
      </c>
      <c r="B9" s="44" t="s">
        <v>123</v>
      </c>
      <c r="C9" s="10">
        <f>(54559057-1440+1240916)</f>
        <v>55798533</v>
      </c>
      <c r="D9" s="10">
        <f>C9*1.035</f>
        <v>57751481.654999994</v>
      </c>
      <c r="E9" s="10">
        <f>D9*1.035</f>
        <v>59772783.51292499</v>
      </c>
      <c r="F9" s="10">
        <f>E9*1.025</f>
        <v>61267103.100748114</v>
      </c>
      <c r="G9" s="10">
        <f>F9*1.02</f>
        <v>62492445.162763074</v>
      </c>
      <c r="H9" s="10">
        <f aca="true" t="shared" si="3" ref="H9:M9">G9*1.015</f>
        <v>63429831.840204515</v>
      </c>
      <c r="I9" s="10">
        <f t="shared" si="3"/>
        <v>64381279.31780758</v>
      </c>
      <c r="J9" s="10">
        <f t="shared" si="3"/>
        <v>65346998.507574685</v>
      </c>
      <c r="K9" s="10">
        <f t="shared" si="3"/>
        <v>66327203.4851883</v>
      </c>
      <c r="L9" s="10">
        <f t="shared" si="3"/>
        <v>67322111.53746611</v>
      </c>
      <c r="M9" s="19">
        <f t="shared" si="3"/>
        <v>68331943.21052809</v>
      </c>
      <c r="N9" s="19">
        <f aca="true" t="shared" si="4" ref="N9:S9">M9*1.015</f>
        <v>69356922.358686</v>
      </c>
      <c r="O9" s="19">
        <f t="shared" si="4"/>
        <v>70397276.19406629</v>
      </c>
      <c r="P9" s="19">
        <f t="shared" si="4"/>
        <v>71453235.33697727</v>
      </c>
      <c r="Q9" s="19">
        <f t="shared" si="4"/>
        <v>72525033.86703193</v>
      </c>
      <c r="R9" s="19">
        <f t="shared" si="4"/>
        <v>73612909.3750374</v>
      </c>
      <c r="S9" s="19">
        <f t="shared" si="4"/>
        <v>74717103.01566295</v>
      </c>
      <c r="T9" s="43" t="s">
        <v>11</v>
      </c>
      <c r="U9" s="44" t="s">
        <v>123</v>
      </c>
      <c r="V9" s="119">
        <f aca="true" t="shared" si="5" ref="V9:V14">D9/C9</f>
        <v>1.035</v>
      </c>
      <c r="W9" s="119">
        <f t="shared" si="1"/>
        <v>1.035</v>
      </c>
      <c r="X9" s="119">
        <f t="shared" si="1"/>
        <v>1.025</v>
      </c>
      <c r="Y9" s="119">
        <f t="shared" si="1"/>
        <v>1.02</v>
      </c>
      <c r="Z9" s="119">
        <f t="shared" si="1"/>
        <v>1.015</v>
      </c>
      <c r="AA9" s="119">
        <f t="shared" si="1"/>
        <v>1.015</v>
      </c>
      <c r="AB9" s="119">
        <f t="shared" si="1"/>
        <v>1.015</v>
      </c>
      <c r="AC9" s="119">
        <f t="shared" si="1"/>
        <v>1.015</v>
      </c>
      <c r="AD9" s="119">
        <f t="shared" si="1"/>
        <v>1.015</v>
      </c>
      <c r="AE9" s="119">
        <f t="shared" si="1"/>
        <v>1.015</v>
      </c>
      <c r="AF9" s="119">
        <f t="shared" si="1"/>
        <v>1.015</v>
      </c>
      <c r="AG9" s="119">
        <f t="shared" si="1"/>
        <v>1.015</v>
      </c>
      <c r="AH9" s="119">
        <f t="shared" si="1"/>
        <v>1.015</v>
      </c>
      <c r="AI9" s="119">
        <f t="shared" si="1"/>
        <v>1.015</v>
      </c>
      <c r="AJ9" s="119">
        <f t="shared" si="1"/>
        <v>1.015</v>
      </c>
      <c r="AK9" s="119">
        <f t="shared" si="1"/>
        <v>1.015</v>
      </c>
    </row>
    <row r="10" spans="1:37" ht="13.5" customHeight="1">
      <c r="A10" s="43" t="s">
        <v>12</v>
      </c>
      <c r="B10" s="44" t="s">
        <v>124</v>
      </c>
      <c r="C10" s="10">
        <v>19853126</v>
      </c>
      <c r="D10" s="10">
        <f aca="true" t="shared" si="6" ref="D10:L10">C10*1.01</f>
        <v>20051657.26</v>
      </c>
      <c r="E10" s="10">
        <f t="shared" si="6"/>
        <v>20252173.8326</v>
      </c>
      <c r="F10" s="10">
        <f t="shared" si="6"/>
        <v>20454695.570926003</v>
      </c>
      <c r="G10" s="10">
        <f t="shared" si="6"/>
        <v>20659242.526635263</v>
      </c>
      <c r="H10" s="10">
        <f t="shared" si="6"/>
        <v>20865834.951901615</v>
      </c>
      <c r="I10" s="10">
        <f t="shared" si="6"/>
        <v>21074493.301420633</v>
      </c>
      <c r="J10" s="10">
        <f t="shared" si="6"/>
        <v>21285238.23443484</v>
      </c>
      <c r="K10" s="10">
        <f t="shared" si="6"/>
        <v>21498090.61677919</v>
      </c>
      <c r="L10" s="19">
        <f t="shared" si="6"/>
        <v>21713071.52294698</v>
      </c>
      <c r="M10" s="19">
        <f aca="true" t="shared" si="7" ref="M10:P11">L10*1.01</f>
        <v>21930202.23817645</v>
      </c>
      <c r="N10" s="19">
        <f t="shared" si="7"/>
        <v>22149504.260558214</v>
      </c>
      <c r="O10" s="19">
        <f t="shared" si="7"/>
        <v>22370999.303163797</v>
      </c>
      <c r="P10" s="19">
        <f t="shared" si="7"/>
        <v>22594709.296195436</v>
      </c>
      <c r="Q10" s="19">
        <f aca="true" t="shared" si="8" ref="Q10:S11">P10*1.01</f>
        <v>22820656.389157392</v>
      </c>
      <c r="R10" s="19">
        <f t="shared" si="8"/>
        <v>23048862.953048967</v>
      </c>
      <c r="S10" s="10">
        <f t="shared" si="8"/>
        <v>23279351.582579456</v>
      </c>
      <c r="T10" s="43" t="s">
        <v>12</v>
      </c>
      <c r="U10" s="44" t="s">
        <v>124</v>
      </c>
      <c r="V10" s="119">
        <f t="shared" si="5"/>
        <v>1.01</v>
      </c>
      <c r="W10" s="119">
        <f t="shared" si="1"/>
        <v>1.01</v>
      </c>
      <c r="X10" s="119">
        <f t="shared" si="1"/>
        <v>1.01</v>
      </c>
      <c r="Y10" s="119">
        <f t="shared" si="1"/>
        <v>1.01</v>
      </c>
      <c r="Z10" s="119">
        <f t="shared" si="1"/>
        <v>1.01</v>
      </c>
      <c r="AA10" s="119">
        <f t="shared" si="1"/>
        <v>1.01</v>
      </c>
      <c r="AB10" s="119">
        <f t="shared" si="1"/>
        <v>1.01</v>
      </c>
      <c r="AC10" s="119">
        <f t="shared" si="1"/>
        <v>1.01</v>
      </c>
      <c r="AD10" s="119">
        <f t="shared" si="1"/>
        <v>1.01</v>
      </c>
      <c r="AE10" s="119">
        <f t="shared" si="1"/>
        <v>1.01</v>
      </c>
      <c r="AF10" s="119">
        <f t="shared" si="1"/>
        <v>1.01</v>
      </c>
      <c r="AG10" s="119">
        <f t="shared" si="1"/>
        <v>1.01</v>
      </c>
      <c r="AH10" s="119">
        <f t="shared" si="1"/>
        <v>1.01</v>
      </c>
      <c r="AI10" s="119">
        <f t="shared" si="1"/>
        <v>1.01</v>
      </c>
      <c r="AJ10" s="119">
        <f t="shared" si="1"/>
        <v>1.01</v>
      </c>
      <c r="AK10" s="119">
        <f t="shared" si="1"/>
        <v>1.01</v>
      </c>
    </row>
    <row r="11" spans="1:37" ht="52.5" customHeight="1">
      <c r="A11" s="43" t="s">
        <v>13</v>
      </c>
      <c r="B11" s="44" t="s">
        <v>3</v>
      </c>
      <c r="C11" s="10">
        <f>10484795+14513</f>
        <v>10499308</v>
      </c>
      <c r="D11" s="12">
        <f aca="true" t="shared" si="9" ref="D11:M11">C11*1.01</f>
        <v>10604301.08</v>
      </c>
      <c r="E11" s="12">
        <f t="shared" si="9"/>
        <v>10710344.0908</v>
      </c>
      <c r="F11" s="12">
        <f t="shared" si="9"/>
        <v>10817447.531708</v>
      </c>
      <c r="G11" s="12">
        <f t="shared" si="9"/>
        <v>10925622.00702508</v>
      </c>
      <c r="H11" s="12">
        <f t="shared" si="9"/>
        <v>11034878.22709533</v>
      </c>
      <c r="I11" s="12">
        <f t="shared" si="9"/>
        <v>11145227.009366283</v>
      </c>
      <c r="J11" s="12">
        <f t="shared" si="9"/>
        <v>11256679.279459946</v>
      </c>
      <c r="K11" s="12">
        <f t="shared" si="9"/>
        <v>11369246.072254546</v>
      </c>
      <c r="L11" s="72">
        <f t="shared" si="9"/>
        <v>11482938.532977091</v>
      </c>
      <c r="M11" s="72">
        <f t="shared" si="9"/>
        <v>11597767.918306863</v>
      </c>
      <c r="N11" s="72">
        <f t="shared" si="7"/>
        <v>11713745.597489933</v>
      </c>
      <c r="O11" s="72">
        <f t="shared" si="7"/>
        <v>11830883.053464832</v>
      </c>
      <c r="P11" s="72">
        <f t="shared" si="7"/>
        <v>11949191.88399948</v>
      </c>
      <c r="Q11" s="72">
        <f t="shared" si="8"/>
        <v>12068683.802839475</v>
      </c>
      <c r="R11" s="72">
        <f t="shared" si="8"/>
        <v>12189370.64086787</v>
      </c>
      <c r="S11" s="12">
        <f t="shared" si="8"/>
        <v>12311264.34727655</v>
      </c>
      <c r="T11" s="43" t="s">
        <v>13</v>
      </c>
      <c r="U11" s="44" t="s">
        <v>3</v>
      </c>
      <c r="V11" s="119">
        <f t="shared" si="5"/>
        <v>1.01</v>
      </c>
      <c r="W11" s="119">
        <f t="shared" si="1"/>
        <v>1.01</v>
      </c>
      <c r="X11" s="119">
        <f t="shared" si="1"/>
        <v>1.01</v>
      </c>
      <c r="Y11" s="119">
        <f t="shared" si="1"/>
        <v>1.01</v>
      </c>
      <c r="Z11" s="119">
        <f t="shared" si="1"/>
        <v>1.01</v>
      </c>
      <c r="AA11" s="119">
        <f t="shared" si="1"/>
        <v>1.01</v>
      </c>
      <c r="AB11" s="119">
        <f t="shared" si="1"/>
        <v>1.01</v>
      </c>
      <c r="AC11" s="119">
        <f t="shared" si="1"/>
        <v>1.01</v>
      </c>
      <c r="AD11" s="119">
        <f t="shared" si="1"/>
        <v>1.01</v>
      </c>
      <c r="AE11" s="119">
        <f t="shared" si="1"/>
        <v>1.01</v>
      </c>
      <c r="AF11" s="119">
        <f t="shared" si="1"/>
        <v>1.01</v>
      </c>
      <c r="AG11" s="119">
        <f t="shared" si="1"/>
        <v>1.01</v>
      </c>
      <c r="AH11" s="119">
        <f t="shared" si="1"/>
        <v>1.01</v>
      </c>
      <c r="AI11" s="119">
        <f t="shared" si="1"/>
        <v>1.01</v>
      </c>
      <c r="AJ11" s="119">
        <f t="shared" si="1"/>
        <v>1.01</v>
      </c>
      <c r="AK11" s="119">
        <f t="shared" si="1"/>
        <v>1.01</v>
      </c>
    </row>
    <row r="12" spans="1:37" ht="15.75" customHeight="1">
      <c r="A12" s="43" t="s">
        <v>10</v>
      </c>
      <c r="B12" s="44" t="s">
        <v>1</v>
      </c>
      <c r="C12" s="9">
        <f>C13+C14+C15</f>
        <v>13130345</v>
      </c>
      <c r="D12" s="9">
        <f aca="true" t="shared" si="10" ref="D12:S12">D13+D14+D15</f>
        <v>10707535</v>
      </c>
      <c r="E12" s="9">
        <f t="shared" si="10"/>
        <v>3309653</v>
      </c>
      <c r="F12" s="9">
        <f t="shared" si="10"/>
        <v>2684653</v>
      </c>
      <c r="G12" s="9">
        <f t="shared" si="10"/>
        <v>1584653</v>
      </c>
      <c r="H12" s="9">
        <f t="shared" si="10"/>
        <v>2484653</v>
      </c>
      <c r="I12" s="9">
        <f t="shared" si="10"/>
        <v>3984653</v>
      </c>
      <c r="J12" s="9">
        <f t="shared" si="10"/>
        <v>3934653</v>
      </c>
      <c r="K12" s="9">
        <f t="shared" si="10"/>
        <v>3934653</v>
      </c>
      <c r="L12" s="73">
        <f t="shared" si="10"/>
        <v>1934653</v>
      </c>
      <c r="M12" s="73">
        <f t="shared" si="10"/>
        <v>1884653</v>
      </c>
      <c r="N12" s="73">
        <f t="shared" si="10"/>
        <v>1604653</v>
      </c>
      <c r="O12" s="73">
        <f t="shared" si="10"/>
        <v>1584653</v>
      </c>
      <c r="P12" s="73">
        <f t="shared" si="10"/>
        <v>1869653</v>
      </c>
      <c r="Q12" s="73">
        <f t="shared" si="10"/>
        <v>2334653</v>
      </c>
      <c r="R12" s="73">
        <f t="shared" si="10"/>
        <v>2634653</v>
      </c>
      <c r="S12" s="9">
        <f t="shared" si="10"/>
        <v>1284653</v>
      </c>
      <c r="T12" s="43" t="s">
        <v>10</v>
      </c>
      <c r="U12" s="44" t="s">
        <v>1</v>
      </c>
      <c r="V12" s="119">
        <f t="shared" si="5"/>
        <v>0.8154800959152254</v>
      </c>
      <c r="W12" s="119">
        <f t="shared" si="1"/>
        <v>0.3090956975625109</v>
      </c>
      <c r="X12" s="119">
        <f t="shared" si="1"/>
        <v>0.8111584507499728</v>
      </c>
      <c r="Y12" s="119">
        <f t="shared" si="1"/>
        <v>0.5902636206615901</v>
      </c>
      <c r="Z12" s="119">
        <f t="shared" si="1"/>
        <v>1.567947683183637</v>
      </c>
      <c r="AA12" s="119">
        <f t="shared" si="1"/>
        <v>1.6037060305805277</v>
      </c>
      <c r="AB12" s="119">
        <f t="shared" si="1"/>
        <v>0.9874518559081557</v>
      </c>
      <c r="AC12" s="119">
        <f t="shared" si="1"/>
        <v>1</v>
      </c>
      <c r="AD12" s="119">
        <f t="shared" si="1"/>
        <v>0.4916959640405393</v>
      </c>
      <c r="AE12" s="119">
        <f t="shared" si="1"/>
        <v>0.974155572084503</v>
      </c>
      <c r="AF12" s="119">
        <f t="shared" si="1"/>
        <v>0.8514315367338179</v>
      </c>
      <c r="AG12" s="119">
        <f t="shared" si="1"/>
        <v>0.9875362461541529</v>
      </c>
      <c r="AH12" s="119">
        <f t="shared" si="1"/>
        <v>1.1798500996748185</v>
      </c>
      <c r="AI12" s="119">
        <f t="shared" si="1"/>
        <v>1.2487092524655645</v>
      </c>
      <c r="AJ12" s="119">
        <f t="shared" si="1"/>
        <v>1.128498753347928</v>
      </c>
      <c r="AK12" s="119">
        <f t="shared" si="1"/>
        <v>0.4875985566220675</v>
      </c>
    </row>
    <row r="13" spans="1:37" ht="15" customHeight="1">
      <c r="A13" s="43" t="s">
        <v>11</v>
      </c>
      <c r="B13" s="44" t="s">
        <v>98</v>
      </c>
      <c r="C13" s="10">
        <v>4964219</v>
      </c>
      <c r="D13" s="10">
        <v>2250000</v>
      </c>
      <c r="E13" s="10">
        <v>2630000</v>
      </c>
      <c r="F13" s="10">
        <v>2650000</v>
      </c>
      <c r="G13" s="10">
        <v>1550000</v>
      </c>
      <c r="H13" s="10">
        <v>2450000</v>
      </c>
      <c r="I13" s="10">
        <v>3950000</v>
      </c>
      <c r="J13" s="10">
        <v>3900000</v>
      </c>
      <c r="K13" s="10">
        <v>3900000</v>
      </c>
      <c r="L13" s="19">
        <v>1900000</v>
      </c>
      <c r="M13" s="19">
        <v>1850000</v>
      </c>
      <c r="N13" s="19">
        <v>1570000</v>
      </c>
      <c r="O13" s="19">
        <v>1550000</v>
      </c>
      <c r="P13" s="19">
        <v>1835000</v>
      </c>
      <c r="Q13" s="19">
        <v>2300000</v>
      </c>
      <c r="R13" s="19">
        <v>2600000</v>
      </c>
      <c r="S13" s="10">
        <v>1250000</v>
      </c>
      <c r="T13" s="43" t="s">
        <v>11</v>
      </c>
      <c r="U13" s="44" t="s">
        <v>98</v>
      </c>
      <c r="V13" s="119">
        <f t="shared" si="5"/>
        <v>0.45324350114287865</v>
      </c>
      <c r="W13" s="119">
        <f t="shared" si="1"/>
        <v>1.1688888888888889</v>
      </c>
      <c r="X13" s="119">
        <f t="shared" si="1"/>
        <v>1.0076045627376427</v>
      </c>
      <c r="Y13" s="119">
        <f t="shared" si="1"/>
        <v>0.5849056603773585</v>
      </c>
      <c r="Z13" s="119">
        <f t="shared" si="1"/>
        <v>1.5806451612903225</v>
      </c>
      <c r="AA13" s="119">
        <f t="shared" si="1"/>
        <v>1.6122448979591837</v>
      </c>
      <c r="AB13" s="119">
        <f t="shared" si="1"/>
        <v>0.9873417721518988</v>
      </c>
      <c r="AC13" s="119">
        <f t="shared" si="1"/>
        <v>1</v>
      </c>
      <c r="AD13" s="119">
        <f t="shared" si="1"/>
        <v>0.48717948717948717</v>
      </c>
      <c r="AE13" s="119">
        <f t="shared" si="1"/>
        <v>0.9736842105263158</v>
      </c>
      <c r="AF13" s="119">
        <f t="shared" si="1"/>
        <v>0.8486486486486486</v>
      </c>
      <c r="AG13" s="119">
        <f t="shared" si="1"/>
        <v>0.9872611464968153</v>
      </c>
      <c r="AH13" s="119">
        <f t="shared" si="1"/>
        <v>1.1838709677419355</v>
      </c>
      <c r="AI13" s="119">
        <f t="shared" si="1"/>
        <v>1.2534059945504088</v>
      </c>
      <c r="AJ13" s="119">
        <f t="shared" si="1"/>
        <v>1.1304347826086956</v>
      </c>
      <c r="AK13" s="119">
        <f t="shared" si="1"/>
        <v>0.4807692307692308</v>
      </c>
    </row>
    <row r="14" spans="1:37" ht="39.75" customHeight="1">
      <c r="A14" s="43" t="s">
        <v>12</v>
      </c>
      <c r="B14" s="34" t="s">
        <v>95</v>
      </c>
      <c r="C14" s="10">
        <v>34653</v>
      </c>
      <c r="D14" s="10">
        <f>C14*1</f>
        <v>34653</v>
      </c>
      <c r="E14" s="10">
        <f aca="true" t="shared" si="11" ref="E14:L14">D14*1</f>
        <v>34653</v>
      </c>
      <c r="F14" s="10">
        <f t="shared" si="11"/>
        <v>34653</v>
      </c>
      <c r="G14" s="10">
        <f t="shared" si="11"/>
        <v>34653</v>
      </c>
      <c r="H14" s="10">
        <f t="shared" si="11"/>
        <v>34653</v>
      </c>
      <c r="I14" s="10">
        <f t="shared" si="11"/>
        <v>34653</v>
      </c>
      <c r="J14" s="10">
        <f t="shared" si="11"/>
        <v>34653</v>
      </c>
      <c r="K14" s="10">
        <f t="shared" si="11"/>
        <v>34653</v>
      </c>
      <c r="L14" s="19">
        <f t="shared" si="11"/>
        <v>34653</v>
      </c>
      <c r="M14" s="19">
        <f aca="true" t="shared" si="12" ref="M14:S14">L14*1</f>
        <v>34653</v>
      </c>
      <c r="N14" s="19">
        <f t="shared" si="12"/>
        <v>34653</v>
      </c>
      <c r="O14" s="19">
        <f t="shared" si="12"/>
        <v>34653</v>
      </c>
      <c r="P14" s="19">
        <f t="shared" si="12"/>
        <v>34653</v>
      </c>
      <c r="Q14" s="19">
        <f t="shared" si="12"/>
        <v>34653</v>
      </c>
      <c r="R14" s="19">
        <f t="shared" si="12"/>
        <v>34653</v>
      </c>
      <c r="S14" s="10">
        <f t="shared" si="12"/>
        <v>34653</v>
      </c>
      <c r="T14" s="43" t="s">
        <v>12</v>
      </c>
      <c r="U14" s="34" t="s">
        <v>95</v>
      </c>
      <c r="V14" s="119">
        <f t="shared" si="5"/>
        <v>1</v>
      </c>
      <c r="W14" s="119">
        <f t="shared" si="1"/>
        <v>1</v>
      </c>
      <c r="X14" s="119">
        <f t="shared" si="1"/>
        <v>1</v>
      </c>
      <c r="Y14" s="119">
        <f t="shared" si="1"/>
        <v>1</v>
      </c>
      <c r="Z14" s="119">
        <f t="shared" si="1"/>
        <v>1</v>
      </c>
      <c r="AA14" s="119">
        <f t="shared" si="1"/>
        <v>1</v>
      </c>
      <c r="AB14" s="119">
        <f t="shared" si="1"/>
        <v>1</v>
      </c>
      <c r="AC14" s="119">
        <f t="shared" si="1"/>
        <v>1</v>
      </c>
      <c r="AD14" s="119">
        <f t="shared" si="1"/>
        <v>1</v>
      </c>
      <c r="AE14" s="119">
        <f t="shared" si="1"/>
        <v>1</v>
      </c>
      <c r="AF14" s="119">
        <f t="shared" si="1"/>
        <v>1</v>
      </c>
      <c r="AG14" s="119">
        <f t="shared" si="1"/>
        <v>1</v>
      </c>
      <c r="AH14" s="119">
        <f t="shared" si="1"/>
        <v>1</v>
      </c>
      <c r="AI14" s="119">
        <f t="shared" si="1"/>
        <v>1</v>
      </c>
      <c r="AJ14" s="119">
        <f t="shared" si="1"/>
        <v>1</v>
      </c>
      <c r="AK14" s="119">
        <f t="shared" si="1"/>
        <v>1</v>
      </c>
    </row>
    <row r="15" spans="1:37" ht="26.25" customHeight="1">
      <c r="A15" s="43" t="s">
        <v>13</v>
      </c>
      <c r="B15" s="44" t="s">
        <v>114</v>
      </c>
      <c r="C15" s="10">
        <f>8130488+985</f>
        <v>8131473</v>
      </c>
      <c r="D15" s="10">
        <v>8422882</v>
      </c>
      <c r="E15" s="10">
        <v>645000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0">
        <v>0</v>
      </c>
      <c r="T15" s="43" t="s">
        <v>13</v>
      </c>
      <c r="U15" s="44" t="s">
        <v>114</v>
      </c>
      <c r="V15" s="105" t="s">
        <v>138</v>
      </c>
      <c r="W15" s="105"/>
      <c r="X15" s="105"/>
      <c r="Y15" s="105"/>
      <c r="Z15" s="105"/>
      <c r="AA15" s="105"/>
      <c r="AB15" s="105"/>
      <c r="AC15" s="105"/>
      <c r="AD15" s="105"/>
      <c r="AE15" s="108"/>
      <c r="AF15" s="108"/>
      <c r="AG15" s="108"/>
      <c r="AH15" s="108"/>
      <c r="AI15" s="108"/>
      <c r="AJ15" s="108"/>
      <c r="AK15" s="108"/>
    </row>
    <row r="16" spans="1:37" ht="28.5" customHeight="1">
      <c r="A16" s="41" t="s">
        <v>100</v>
      </c>
      <c r="B16" s="42" t="s">
        <v>6</v>
      </c>
      <c r="C16" s="24">
        <f>C18+C47</f>
        <v>104653214</v>
      </c>
      <c r="D16" s="24">
        <f aca="true" t="shared" si="13" ref="D16:S16">D20+D47+D36</f>
        <v>104639068.25</v>
      </c>
      <c r="E16" s="24">
        <f t="shared" si="13"/>
        <v>91913324.325</v>
      </c>
      <c r="F16" s="24">
        <f t="shared" si="13"/>
        <v>92206720.892575</v>
      </c>
      <c r="G16" s="24">
        <f t="shared" si="13"/>
        <v>92395494.82239331</v>
      </c>
      <c r="H16" s="24">
        <f t="shared" si="13"/>
        <v>95124760.26543963</v>
      </c>
      <c r="I16" s="24">
        <f t="shared" si="13"/>
        <v>97688257.3886249</v>
      </c>
      <c r="J16" s="24">
        <f t="shared" si="13"/>
        <v>98854204.73467702</v>
      </c>
      <c r="K16" s="24">
        <f t="shared" si="13"/>
        <v>101035309.3962278</v>
      </c>
      <c r="L16" s="70">
        <f t="shared" si="13"/>
        <v>100231768.41837876</v>
      </c>
      <c r="M16" s="70">
        <f t="shared" si="13"/>
        <v>101443781.40781768</v>
      </c>
      <c r="N16" s="70">
        <f t="shared" si="13"/>
        <v>102671550.5661193</v>
      </c>
      <c r="O16" s="70">
        <f t="shared" si="13"/>
        <v>104415280.72347884</v>
      </c>
      <c r="P16" s="70">
        <f t="shared" si="13"/>
        <v>106175179.37288405</v>
      </c>
      <c r="Q16" s="70">
        <f t="shared" si="13"/>
        <v>109451456.70473154</v>
      </c>
      <c r="R16" s="70">
        <f t="shared" si="13"/>
        <v>111744325.64189304</v>
      </c>
      <c r="S16" s="24">
        <f t="shared" si="13"/>
        <v>111554001.87523764</v>
      </c>
      <c r="T16" s="41" t="s">
        <v>100</v>
      </c>
      <c r="U16" s="42" t="s">
        <v>6</v>
      </c>
      <c r="V16" s="120">
        <f>D16/C16</f>
        <v>0.99986483214935</v>
      </c>
      <c r="W16" s="120">
        <f aca="true" t="shared" si="14" ref="W16:AK16">E16/D16</f>
        <v>0.8783843918162947</v>
      </c>
      <c r="X16" s="120">
        <f t="shared" si="14"/>
        <v>1.0031921004895608</v>
      </c>
      <c r="Y16" s="120">
        <f t="shared" si="14"/>
        <v>1.0020472903492388</v>
      </c>
      <c r="Z16" s="120">
        <f t="shared" si="14"/>
        <v>1.0295389450350652</v>
      </c>
      <c r="AA16" s="120">
        <f t="shared" si="14"/>
        <v>1.0269487893165985</v>
      </c>
      <c r="AB16" s="120">
        <f t="shared" si="14"/>
        <v>1.0119353889323024</v>
      </c>
      <c r="AC16" s="120">
        <f t="shared" si="14"/>
        <v>1.0220638532008308</v>
      </c>
      <c r="AD16" s="120">
        <f t="shared" si="14"/>
        <v>0.9920469291117047</v>
      </c>
      <c r="AE16" s="120">
        <f t="shared" si="14"/>
        <v>1.0120921042156998</v>
      </c>
      <c r="AF16" s="120">
        <f t="shared" si="14"/>
        <v>1.0121029514206084</v>
      </c>
      <c r="AG16" s="120">
        <f t="shared" si="14"/>
        <v>1.0169835767332314</v>
      </c>
      <c r="AH16" s="120">
        <f t="shared" si="14"/>
        <v>1.016854799768876</v>
      </c>
      <c r="AI16" s="120">
        <f t="shared" si="14"/>
        <v>1.0308572808748577</v>
      </c>
      <c r="AJ16" s="120">
        <f t="shared" si="14"/>
        <v>1.0209487292923565</v>
      </c>
      <c r="AK16" s="120">
        <f t="shared" si="14"/>
        <v>0.9982967925613929</v>
      </c>
    </row>
    <row r="17" spans="1:37" s="39" customFormat="1" ht="19.5" customHeight="1">
      <c r="A17" s="45"/>
      <c r="B17" s="46" t="s"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74"/>
      <c r="M17" s="86"/>
      <c r="N17" s="86"/>
      <c r="O17" s="86"/>
      <c r="P17" s="87"/>
      <c r="Q17" s="86"/>
      <c r="R17" s="86"/>
      <c r="S17" s="86"/>
      <c r="T17" s="45"/>
      <c r="U17" s="46" t="s">
        <v>0</v>
      </c>
      <c r="V17" s="105"/>
      <c r="W17" s="105"/>
      <c r="X17" s="105"/>
      <c r="Y17" s="105"/>
      <c r="Z17" s="105"/>
      <c r="AA17" s="105"/>
      <c r="AB17" s="105"/>
      <c r="AC17" s="105"/>
      <c r="AD17" s="105"/>
      <c r="AE17" s="108"/>
      <c r="AF17" s="108"/>
      <c r="AG17" s="108"/>
      <c r="AH17" s="108"/>
      <c r="AI17" s="108"/>
      <c r="AJ17" s="108"/>
      <c r="AK17" s="108"/>
    </row>
    <row r="18" spans="1:37" ht="12.75" customHeight="1">
      <c r="A18" s="47" t="s">
        <v>126</v>
      </c>
      <c r="B18" s="44" t="s">
        <v>99</v>
      </c>
      <c r="C18" s="9">
        <f>86591006+56119</f>
        <v>86647125</v>
      </c>
      <c r="D18" s="9">
        <f>C18*1.01</f>
        <v>87513596.25</v>
      </c>
      <c r="E18" s="9">
        <f>D18*0.98</f>
        <v>85763324.325</v>
      </c>
      <c r="F18" s="9">
        <f>E18*1.011</f>
        <v>86706720.892575</v>
      </c>
      <c r="G18" s="9">
        <f>F18*1.011</f>
        <v>87660494.82239331</v>
      </c>
      <c r="H18" s="9">
        <f>G18*1.011</f>
        <v>88624760.26543963</v>
      </c>
      <c r="I18" s="9">
        <f>H18*1.012</f>
        <v>89688257.3886249</v>
      </c>
      <c r="J18" s="9">
        <f>I18*1.013</f>
        <v>90854204.73467702</v>
      </c>
      <c r="K18" s="9">
        <f aca="true" t="shared" si="15" ref="K18:S18">J18*1.013</f>
        <v>92035309.3962278</v>
      </c>
      <c r="L18" s="9">
        <f t="shared" si="15"/>
        <v>93231768.41837876</v>
      </c>
      <c r="M18" s="9">
        <f t="shared" si="15"/>
        <v>94443781.40781768</v>
      </c>
      <c r="N18" s="9">
        <f t="shared" si="15"/>
        <v>95671550.5661193</v>
      </c>
      <c r="O18" s="9">
        <f t="shared" si="15"/>
        <v>96915280.72347884</v>
      </c>
      <c r="P18" s="9">
        <f t="shared" si="15"/>
        <v>98175179.37288405</v>
      </c>
      <c r="Q18" s="9">
        <f t="shared" si="15"/>
        <v>99451456.70473154</v>
      </c>
      <c r="R18" s="9">
        <f t="shared" si="15"/>
        <v>100744325.64189304</v>
      </c>
      <c r="S18" s="9">
        <f t="shared" si="15"/>
        <v>102054001.87523764</v>
      </c>
      <c r="T18" s="47" t="s">
        <v>126</v>
      </c>
      <c r="U18" s="44" t="s">
        <v>99</v>
      </c>
      <c r="V18" s="119">
        <f>D18/C18</f>
        <v>1.01</v>
      </c>
      <c r="W18" s="119">
        <f aca="true" t="shared" si="16" ref="W18:AK19">E18/D18</f>
        <v>0.98</v>
      </c>
      <c r="X18" s="119">
        <f t="shared" si="16"/>
        <v>1.011</v>
      </c>
      <c r="Y18" s="119">
        <f t="shared" si="16"/>
        <v>1.011</v>
      </c>
      <c r="Z18" s="119">
        <f t="shared" si="16"/>
        <v>1.011</v>
      </c>
      <c r="AA18" s="119">
        <f t="shared" si="16"/>
        <v>1.012</v>
      </c>
      <c r="AB18" s="119">
        <f t="shared" si="16"/>
        <v>1.013</v>
      </c>
      <c r="AC18" s="119">
        <f t="shared" si="16"/>
        <v>1.013</v>
      </c>
      <c r="AD18" s="119">
        <f t="shared" si="16"/>
        <v>1.013</v>
      </c>
      <c r="AE18" s="119">
        <f t="shared" si="16"/>
        <v>1.013</v>
      </c>
      <c r="AF18" s="119">
        <f t="shared" si="16"/>
        <v>1.013</v>
      </c>
      <c r="AG18" s="119">
        <f t="shared" si="16"/>
        <v>1.013</v>
      </c>
      <c r="AH18" s="119">
        <f t="shared" si="16"/>
        <v>1.013</v>
      </c>
      <c r="AI18" s="119">
        <f t="shared" si="16"/>
        <v>1.013</v>
      </c>
      <c r="AJ18" s="119">
        <f t="shared" si="16"/>
        <v>1.013</v>
      </c>
      <c r="AK18" s="119">
        <f t="shared" si="16"/>
        <v>1.013</v>
      </c>
    </row>
    <row r="19" spans="1:37" s="23" customFormat="1" ht="14.25" customHeight="1">
      <c r="A19" s="47"/>
      <c r="B19" s="48" t="s">
        <v>127</v>
      </c>
      <c r="C19" s="21">
        <f aca="true" t="shared" si="17" ref="C19:H19">C8+C13-C18</f>
        <v>4468061</v>
      </c>
      <c r="D19" s="21">
        <f t="shared" si="17"/>
        <v>3143843.74499999</v>
      </c>
      <c r="E19" s="21">
        <f t="shared" si="17"/>
        <v>7601977.111324996</v>
      </c>
      <c r="F19" s="21">
        <f t="shared" si="17"/>
        <v>8482525.310807124</v>
      </c>
      <c r="G19" s="21">
        <f t="shared" si="17"/>
        <v>7966814.874030098</v>
      </c>
      <c r="H19" s="21">
        <f t="shared" si="17"/>
        <v>9155784.753761828</v>
      </c>
      <c r="I19" s="21">
        <f aca="true" t="shared" si="18" ref="I19:S19">I8+I13-I18</f>
        <v>10862742.239969596</v>
      </c>
      <c r="J19" s="21">
        <f t="shared" si="18"/>
        <v>10934711.286792457</v>
      </c>
      <c r="K19" s="21">
        <f t="shared" si="18"/>
        <v>11059230.777994215</v>
      </c>
      <c r="L19" s="75">
        <f t="shared" si="18"/>
        <v>9186353.175011426</v>
      </c>
      <c r="M19" s="75">
        <f t="shared" si="18"/>
        <v>9266131.959193721</v>
      </c>
      <c r="N19" s="75">
        <f t="shared" si="18"/>
        <v>9118621.650614858</v>
      </c>
      <c r="O19" s="75">
        <f t="shared" si="18"/>
        <v>9233877.827216074</v>
      </c>
      <c r="P19" s="75">
        <f t="shared" si="18"/>
        <v>9656957.144288138</v>
      </c>
      <c r="Q19" s="75">
        <f t="shared" si="18"/>
        <v>10262917.35429725</v>
      </c>
      <c r="R19" s="75">
        <f t="shared" si="18"/>
        <v>10706817.327061206</v>
      </c>
      <c r="S19" s="21">
        <f t="shared" si="18"/>
        <v>9503717.070281312</v>
      </c>
      <c r="T19" s="47"/>
      <c r="U19" s="48" t="s">
        <v>127</v>
      </c>
      <c r="V19" s="119">
        <f>D19/C19</f>
        <v>0.7036259677296236</v>
      </c>
      <c r="W19" s="119">
        <f t="shared" si="16"/>
        <v>2.418051826976223</v>
      </c>
      <c r="X19" s="119">
        <f t="shared" si="16"/>
        <v>1.1158314720745919</v>
      </c>
      <c r="Y19" s="119">
        <f t="shared" si="16"/>
        <v>0.9392031950532482</v>
      </c>
      <c r="Z19" s="119">
        <f t="shared" si="16"/>
        <v>1.149240304755604</v>
      </c>
      <c r="AA19" s="119">
        <f t="shared" si="16"/>
        <v>1.1864348640903155</v>
      </c>
      <c r="AB19" s="119">
        <f t="shared" si="16"/>
        <v>1.0066253111077283</v>
      </c>
      <c r="AC19" s="119">
        <f t="shared" si="16"/>
        <v>1.0113875426553018</v>
      </c>
      <c r="AD19" s="119">
        <f t="shared" si="16"/>
        <v>0.8306502829555322</v>
      </c>
      <c r="AE19" s="119">
        <f t="shared" si="16"/>
        <v>1.0086844891179787</v>
      </c>
      <c r="AF19" s="119">
        <f t="shared" si="16"/>
        <v>0.9840807027971897</v>
      </c>
      <c r="AG19" s="119">
        <f t="shared" si="16"/>
        <v>1.0126396489532434</v>
      </c>
      <c r="AH19" s="119">
        <f t="shared" si="16"/>
        <v>1.0458181627468661</v>
      </c>
      <c r="AI19" s="119">
        <f t="shared" si="16"/>
        <v>1.0627485657185012</v>
      </c>
      <c r="AJ19" s="119">
        <f t="shared" si="16"/>
        <v>1.0432528059458734</v>
      </c>
      <c r="AK19" s="119">
        <f t="shared" si="16"/>
        <v>0.8876323168660878</v>
      </c>
    </row>
    <row r="20" spans="1:37" ht="32.25" customHeight="1">
      <c r="A20" s="41" t="s">
        <v>91</v>
      </c>
      <c r="B20" s="42" t="s">
        <v>83</v>
      </c>
      <c r="C20" s="25">
        <f aca="true" t="shared" si="19" ref="C20:S20">C18-C36</f>
        <v>84710925</v>
      </c>
      <c r="D20" s="14">
        <f t="shared" si="19"/>
        <v>85232366.25</v>
      </c>
      <c r="E20" s="14">
        <f t="shared" si="19"/>
        <v>83815461.325</v>
      </c>
      <c r="F20" s="14">
        <f t="shared" si="19"/>
        <v>84915724.892575</v>
      </c>
      <c r="G20" s="14">
        <f t="shared" si="19"/>
        <v>86029540.82239331</v>
      </c>
      <c r="H20" s="14">
        <f t="shared" si="19"/>
        <v>87153266.26543963</v>
      </c>
      <c r="I20" s="14">
        <f t="shared" si="19"/>
        <v>88361294.3886249</v>
      </c>
      <c r="J20" s="14">
        <f t="shared" si="19"/>
        <v>89682241.73467702</v>
      </c>
      <c r="K20" s="14">
        <f t="shared" si="19"/>
        <v>90992159.3962278</v>
      </c>
      <c r="L20" s="33">
        <f t="shared" si="19"/>
        <v>92317449.41837876</v>
      </c>
      <c r="M20" s="33">
        <f t="shared" si="19"/>
        <v>93649937.40781768</v>
      </c>
      <c r="N20" s="33">
        <f t="shared" si="19"/>
        <v>94999577.5661193</v>
      </c>
      <c r="O20" s="33">
        <f t="shared" si="19"/>
        <v>96327847.72347884</v>
      </c>
      <c r="P20" s="33">
        <f t="shared" si="19"/>
        <v>97675279.37288405</v>
      </c>
      <c r="Q20" s="33">
        <f t="shared" si="19"/>
        <v>99015256.70473154</v>
      </c>
      <c r="R20" s="33">
        <f t="shared" si="19"/>
        <v>100308125.64189304</v>
      </c>
      <c r="S20" s="14">
        <f t="shared" si="19"/>
        <v>101617801.87523764</v>
      </c>
      <c r="T20" s="41" t="s">
        <v>91</v>
      </c>
      <c r="U20" s="42" t="s">
        <v>83</v>
      </c>
      <c r="V20" s="120">
        <f>D21/C21</f>
        <v>1.01</v>
      </c>
      <c r="W20" s="120">
        <f aca="true" t="shared" si="20" ref="W20:AK20">E21/D21</f>
        <v>1.01</v>
      </c>
      <c r="X20" s="120">
        <f t="shared" si="20"/>
        <v>1.02</v>
      </c>
      <c r="Y20" s="120">
        <f t="shared" si="20"/>
        <v>1.02</v>
      </c>
      <c r="Z20" s="120">
        <f t="shared" si="20"/>
        <v>1.02</v>
      </c>
      <c r="AA20" s="120">
        <f t="shared" si="20"/>
        <v>1.02</v>
      </c>
      <c r="AB20" s="120">
        <f t="shared" si="20"/>
        <v>1.02</v>
      </c>
      <c r="AC20" s="120">
        <f t="shared" si="20"/>
        <v>1.02</v>
      </c>
      <c r="AD20" s="120">
        <f t="shared" si="20"/>
        <v>1.02</v>
      </c>
      <c r="AE20" s="120">
        <f t="shared" si="20"/>
        <v>1.02</v>
      </c>
      <c r="AF20" s="120">
        <f t="shared" si="20"/>
        <v>1.02</v>
      </c>
      <c r="AG20" s="120">
        <f t="shared" si="20"/>
        <v>1.02</v>
      </c>
      <c r="AH20" s="120">
        <f t="shared" si="20"/>
        <v>1.02</v>
      </c>
      <c r="AI20" s="120">
        <f t="shared" si="20"/>
        <v>1.02</v>
      </c>
      <c r="AJ20" s="120">
        <f t="shared" si="20"/>
        <v>1.02</v>
      </c>
      <c r="AK20" s="120">
        <f t="shared" si="20"/>
        <v>1.02</v>
      </c>
    </row>
    <row r="21" spans="1:37" ht="25.5" customHeight="1">
      <c r="A21" s="43" t="s">
        <v>14</v>
      </c>
      <c r="B21" s="44" t="s">
        <v>17</v>
      </c>
      <c r="C21" s="10">
        <v>39205764</v>
      </c>
      <c r="D21" s="12">
        <f>C21*1.01</f>
        <v>39597821.64</v>
      </c>
      <c r="E21" s="12">
        <f>D21*1.01</f>
        <v>39993799.8564</v>
      </c>
      <c r="F21" s="12">
        <f aca="true" t="shared" si="21" ref="F21:L21">E21*1.02</f>
        <v>40793675.853528</v>
      </c>
      <c r="G21" s="12">
        <f t="shared" si="21"/>
        <v>41609549.37059856</v>
      </c>
      <c r="H21" s="12">
        <f t="shared" si="21"/>
        <v>42441740.35801053</v>
      </c>
      <c r="I21" s="12">
        <f t="shared" si="21"/>
        <v>43290575.165170744</v>
      </c>
      <c r="J21" s="12">
        <f t="shared" si="21"/>
        <v>44156386.66847416</v>
      </c>
      <c r="K21" s="12">
        <f t="shared" si="21"/>
        <v>45039514.401843645</v>
      </c>
      <c r="L21" s="72">
        <f t="shared" si="21"/>
        <v>45940304.68988052</v>
      </c>
      <c r="M21" s="72">
        <f aca="true" t="shared" si="22" ref="M21:S22">L21*1.02</f>
        <v>46859110.78367813</v>
      </c>
      <c r="N21" s="72">
        <f t="shared" si="22"/>
        <v>47796292.999351695</v>
      </c>
      <c r="O21" s="72">
        <f t="shared" si="22"/>
        <v>48752218.85933873</v>
      </c>
      <c r="P21" s="72">
        <f t="shared" si="22"/>
        <v>49727263.236525506</v>
      </c>
      <c r="Q21" s="72">
        <f t="shared" si="22"/>
        <v>50721808.50125602</v>
      </c>
      <c r="R21" s="72">
        <f t="shared" si="22"/>
        <v>51736244.67128114</v>
      </c>
      <c r="S21" s="12">
        <f t="shared" si="22"/>
        <v>52770969.56470676</v>
      </c>
      <c r="T21" s="43" t="s">
        <v>14</v>
      </c>
      <c r="U21" s="44" t="s">
        <v>17</v>
      </c>
      <c r="V21" s="119">
        <f>D21/C21</f>
        <v>1.01</v>
      </c>
      <c r="W21" s="119">
        <f aca="true" t="shared" si="23" ref="W21:AK22">E21/D21</f>
        <v>1.01</v>
      </c>
      <c r="X21" s="119">
        <f t="shared" si="23"/>
        <v>1.02</v>
      </c>
      <c r="Y21" s="119">
        <f t="shared" si="23"/>
        <v>1.02</v>
      </c>
      <c r="Z21" s="119">
        <f t="shared" si="23"/>
        <v>1.02</v>
      </c>
      <c r="AA21" s="119">
        <f t="shared" si="23"/>
        <v>1.02</v>
      </c>
      <c r="AB21" s="119">
        <f t="shared" si="23"/>
        <v>1.02</v>
      </c>
      <c r="AC21" s="119">
        <f t="shared" si="23"/>
        <v>1.02</v>
      </c>
      <c r="AD21" s="119">
        <f t="shared" si="23"/>
        <v>1.02</v>
      </c>
      <c r="AE21" s="119">
        <f t="shared" si="23"/>
        <v>1.02</v>
      </c>
      <c r="AF21" s="119">
        <f t="shared" si="23"/>
        <v>1.02</v>
      </c>
      <c r="AG21" s="119">
        <f t="shared" si="23"/>
        <v>1.02</v>
      </c>
      <c r="AH21" s="119">
        <f t="shared" si="23"/>
        <v>1.02</v>
      </c>
      <c r="AI21" s="119">
        <f t="shared" si="23"/>
        <v>1.02</v>
      </c>
      <c r="AJ21" s="119">
        <f t="shared" si="23"/>
        <v>1.02</v>
      </c>
      <c r="AK21" s="119">
        <f t="shared" si="23"/>
        <v>1.02</v>
      </c>
    </row>
    <row r="22" spans="1:37" ht="28.5" customHeight="1">
      <c r="A22" s="43" t="s">
        <v>15</v>
      </c>
      <c r="B22" s="44" t="s">
        <v>16</v>
      </c>
      <c r="C22" s="10">
        <v>1781013</v>
      </c>
      <c r="D22" s="12">
        <f>C22*1.02</f>
        <v>1816633.26</v>
      </c>
      <c r="E22" s="12">
        <f aca="true" t="shared" si="24" ref="E22:L22">D22*1.02</f>
        <v>1852965.9252</v>
      </c>
      <c r="F22" s="12">
        <f t="shared" si="24"/>
        <v>1890025.243704</v>
      </c>
      <c r="G22" s="12">
        <f t="shared" si="24"/>
        <v>1927825.74857808</v>
      </c>
      <c r="H22" s="12">
        <f t="shared" si="24"/>
        <v>1966382.2635496417</v>
      </c>
      <c r="I22" s="12">
        <f t="shared" si="24"/>
        <v>2005709.9088206345</v>
      </c>
      <c r="J22" s="12">
        <f t="shared" si="24"/>
        <v>2045824.106997047</v>
      </c>
      <c r="K22" s="12">
        <f t="shared" si="24"/>
        <v>2086740.5891369882</v>
      </c>
      <c r="L22" s="72">
        <f t="shared" si="24"/>
        <v>2128475.400919728</v>
      </c>
      <c r="M22" s="72">
        <f t="shared" si="22"/>
        <v>2171044.9089381224</v>
      </c>
      <c r="N22" s="72">
        <f t="shared" si="22"/>
        <v>2214465.8071168847</v>
      </c>
      <c r="O22" s="72">
        <f t="shared" si="22"/>
        <v>2258755.1232592226</v>
      </c>
      <c r="P22" s="72">
        <f t="shared" si="22"/>
        <v>2303930.225724407</v>
      </c>
      <c r="Q22" s="72">
        <f t="shared" si="22"/>
        <v>2350008.830238895</v>
      </c>
      <c r="R22" s="72">
        <f t="shared" si="22"/>
        <v>2397009.006843673</v>
      </c>
      <c r="S22" s="12">
        <f t="shared" si="22"/>
        <v>2444949.1869805465</v>
      </c>
      <c r="T22" s="43" t="s">
        <v>15</v>
      </c>
      <c r="U22" s="44" t="s">
        <v>16</v>
      </c>
      <c r="V22" s="119">
        <f>D22/C22</f>
        <v>1.02</v>
      </c>
      <c r="W22" s="119">
        <f t="shared" si="23"/>
        <v>1.02</v>
      </c>
      <c r="X22" s="119">
        <f t="shared" si="23"/>
        <v>1.02</v>
      </c>
      <c r="Y22" s="119">
        <f t="shared" si="23"/>
        <v>1.02</v>
      </c>
      <c r="Z22" s="119">
        <f t="shared" si="23"/>
        <v>1.02</v>
      </c>
      <c r="AA22" s="119">
        <f t="shared" si="23"/>
        <v>1.02</v>
      </c>
      <c r="AB22" s="119">
        <f t="shared" si="23"/>
        <v>1.02</v>
      </c>
      <c r="AC22" s="119">
        <f t="shared" si="23"/>
        <v>1.02</v>
      </c>
      <c r="AD22" s="119">
        <f t="shared" si="23"/>
        <v>1.02</v>
      </c>
      <c r="AE22" s="119">
        <f t="shared" si="23"/>
        <v>1.02</v>
      </c>
      <c r="AF22" s="119">
        <f t="shared" si="23"/>
        <v>1.02</v>
      </c>
      <c r="AG22" s="119">
        <f t="shared" si="23"/>
        <v>1.02</v>
      </c>
      <c r="AH22" s="119">
        <f t="shared" si="23"/>
        <v>1.02</v>
      </c>
      <c r="AI22" s="119">
        <f t="shared" si="23"/>
        <v>1.02</v>
      </c>
      <c r="AJ22" s="119">
        <f t="shared" si="23"/>
        <v>1.02</v>
      </c>
      <c r="AK22" s="119">
        <f t="shared" si="23"/>
        <v>1.02</v>
      </c>
    </row>
    <row r="23" spans="1:37" ht="52.5" customHeight="1">
      <c r="A23" s="43" t="s">
        <v>18</v>
      </c>
      <c r="B23" s="44" t="s">
        <v>80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0">
        <v>0</v>
      </c>
      <c r="T23" s="43" t="s">
        <v>18</v>
      </c>
      <c r="U23" s="44" t="s">
        <v>80</v>
      </c>
      <c r="V23" s="105"/>
      <c r="W23" s="105"/>
      <c r="X23" s="105"/>
      <c r="Y23" s="105"/>
      <c r="Z23" s="105"/>
      <c r="AA23" s="105"/>
      <c r="AB23" s="105"/>
      <c r="AC23" s="105"/>
      <c r="AD23" s="105"/>
      <c r="AE23" s="108"/>
      <c r="AF23" s="108"/>
      <c r="AG23" s="108"/>
      <c r="AH23" s="108"/>
      <c r="AI23" s="108"/>
      <c r="AJ23" s="108"/>
      <c r="AK23" s="108"/>
    </row>
    <row r="24" spans="1:37" ht="39.75" customHeight="1">
      <c r="A24" s="153"/>
      <c r="B24" s="44" t="s">
        <v>84</v>
      </c>
      <c r="C24" s="10">
        <f>C23</f>
        <v>0</v>
      </c>
      <c r="D24" s="10">
        <f aca="true" t="shared" si="25" ref="D24:S24">D23</f>
        <v>0</v>
      </c>
      <c r="E24" s="10">
        <f t="shared" si="25"/>
        <v>0</v>
      </c>
      <c r="F24" s="10">
        <f t="shared" si="25"/>
        <v>0</v>
      </c>
      <c r="G24" s="10">
        <f t="shared" si="25"/>
        <v>0</v>
      </c>
      <c r="H24" s="10">
        <f t="shared" si="25"/>
        <v>0</v>
      </c>
      <c r="I24" s="10">
        <f t="shared" si="25"/>
        <v>0</v>
      </c>
      <c r="J24" s="10">
        <f t="shared" si="25"/>
        <v>0</v>
      </c>
      <c r="K24" s="10">
        <f t="shared" si="25"/>
        <v>0</v>
      </c>
      <c r="L24" s="19">
        <f t="shared" si="25"/>
        <v>0</v>
      </c>
      <c r="M24" s="19">
        <f t="shared" si="25"/>
        <v>0</v>
      </c>
      <c r="N24" s="19">
        <f t="shared" si="25"/>
        <v>0</v>
      </c>
      <c r="O24" s="19">
        <f t="shared" si="25"/>
        <v>0</v>
      </c>
      <c r="P24" s="19">
        <f t="shared" si="25"/>
        <v>0</v>
      </c>
      <c r="Q24" s="19">
        <f t="shared" si="25"/>
        <v>0</v>
      </c>
      <c r="R24" s="19">
        <f t="shared" si="25"/>
        <v>0</v>
      </c>
      <c r="S24" s="10">
        <f t="shared" si="25"/>
        <v>0</v>
      </c>
      <c r="T24" s="99"/>
      <c r="U24" s="44" t="s">
        <v>84</v>
      </c>
      <c r="V24" s="105"/>
      <c r="W24" s="105"/>
      <c r="X24" s="105"/>
      <c r="Y24" s="105"/>
      <c r="Z24" s="105"/>
      <c r="AA24" s="105"/>
      <c r="AB24" s="105"/>
      <c r="AC24" s="105"/>
      <c r="AD24" s="105"/>
      <c r="AE24" s="108"/>
      <c r="AF24" s="108"/>
      <c r="AG24" s="108"/>
      <c r="AH24" s="108"/>
      <c r="AI24" s="108"/>
      <c r="AJ24" s="108"/>
      <c r="AK24" s="108"/>
    </row>
    <row r="25" spans="1:37" ht="26.25" customHeight="1">
      <c r="A25" s="154"/>
      <c r="B25" s="44" t="s">
        <v>21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0">
        <v>0</v>
      </c>
      <c r="T25" s="100"/>
      <c r="U25" s="44" t="s">
        <v>21</v>
      </c>
      <c r="V25" s="105"/>
      <c r="W25" s="105"/>
      <c r="X25" s="105"/>
      <c r="Y25" s="105"/>
      <c r="Z25" s="105"/>
      <c r="AA25" s="105"/>
      <c r="AB25" s="105"/>
      <c r="AC25" s="105"/>
      <c r="AD25" s="105"/>
      <c r="AE25" s="108"/>
      <c r="AF25" s="108"/>
      <c r="AG25" s="108"/>
      <c r="AH25" s="108"/>
      <c r="AI25" s="108"/>
      <c r="AJ25" s="108"/>
      <c r="AK25" s="108"/>
    </row>
    <row r="26" spans="1:37" ht="25.5" customHeight="1">
      <c r="A26" s="154"/>
      <c r="B26" s="44" t="s">
        <v>19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0">
        <v>0</v>
      </c>
      <c r="T26" s="100"/>
      <c r="U26" s="44" t="s">
        <v>19</v>
      </c>
      <c r="V26" s="105"/>
      <c r="W26" s="105"/>
      <c r="X26" s="105"/>
      <c r="Y26" s="105"/>
      <c r="Z26" s="105"/>
      <c r="AA26" s="105"/>
      <c r="AB26" s="105"/>
      <c r="AC26" s="105"/>
      <c r="AD26" s="105"/>
      <c r="AE26" s="108"/>
      <c r="AF26" s="108"/>
      <c r="AG26" s="108"/>
      <c r="AH26" s="108"/>
      <c r="AI26" s="108"/>
      <c r="AJ26" s="108"/>
      <c r="AK26" s="108"/>
    </row>
    <row r="27" spans="1:37" ht="25.5" customHeight="1">
      <c r="A27" s="155"/>
      <c r="B27" s="44" t="s">
        <v>20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0">
        <v>0</v>
      </c>
      <c r="T27" s="49"/>
      <c r="U27" s="44" t="s">
        <v>20</v>
      </c>
      <c r="V27" s="105"/>
      <c r="W27" s="105"/>
      <c r="X27" s="105"/>
      <c r="Y27" s="105"/>
      <c r="Z27" s="105"/>
      <c r="AA27" s="105"/>
      <c r="AB27" s="105"/>
      <c r="AC27" s="105"/>
      <c r="AD27" s="105"/>
      <c r="AE27" s="108"/>
      <c r="AF27" s="108"/>
      <c r="AG27" s="108"/>
      <c r="AH27" s="108"/>
      <c r="AI27" s="108"/>
      <c r="AJ27" s="108"/>
      <c r="AK27" s="108"/>
    </row>
    <row r="28" spans="1:37" ht="17.25" customHeight="1">
      <c r="A28" s="43" t="s">
        <v>22</v>
      </c>
      <c r="B28" s="44" t="s">
        <v>23</v>
      </c>
      <c r="C28" s="10">
        <f>C20-C21-C22-C23</f>
        <v>43724148</v>
      </c>
      <c r="D28" s="10">
        <f aca="true" t="shared" si="26" ref="D28:S28">D20-D21-D22-D23</f>
        <v>43817911.35</v>
      </c>
      <c r="E28" s="10">
        <f t="shared" si="26"/>
        <v>41968695.543400005</v>
      </c>
      <c r="F28" s="10">
        <f t="shared" si="26"/>
        <v>42232023.795343</v>
      </c>
      <c r="G28" s="10">
        <f t="shared" si="26"/>
        <v>42492165.70321667</v>
      </c>
      <c r="H28" s="10">
        <f t="shared" si="26"/>
        <v>42745143.64387946</v>
      </c>
      <c r="I28" s="10">
        <f t="shared" si="26"/>
        <v>43065009.314633526</v>
      </c>
      <c r="J28" s="10">
        <f t="shared" si="26"/>
        <v>43480030.959205806</v>
      </c>
      <c r="K28" s="10">
        <f t="shared" si="26"/>
        <v>43865904.405247174</v>
      </c>
      <c r="L28" s="19">
        <f t="shared" si="26"/>
        <v>44248669.32757851</v>
      </c>
      <c r="M28" s="19">
        <f t="shared" si="26"/>
        <v>44619781.71520142</v>
      </c>
      <c r="N28" s="19">
        <f t="shared" si="26"/>
        <v>44988818.75965072</v>
      </c>
      <c r="O28" s="19">
        <f t="shared" si="26"/>
        <v>45316873.740880884</v>
      </c>
      <c r="P28" s="19">
        <f t="shared" si="26"/>
        <v>45644085.91063414</v>
      </c>
      <c r="Q28" s="19">
        <f t="shared" si="26"/>
        <v>45943439.37323663</v>
      </c>
      <c r="R28" s="19">
        <f t="shared" si="26"/>
        <v>46174871.96376824</v>
      </c>
      <c r="S28" s="125">
        <f t="shared" si="26"/>
        <v>46401883.12355034</v>
      </c>
      <c r="T28" s="43" t="s">
        <v>22</v>
      </c>
      <c r="U28" s="44" t="s">
        <v>23</v>
      </c>
      <c r="V28" s="119">
        <f>D28/C28</f>
        <v>1.0021444294351944</v>
      </c>
      <c r="W28" s="119">
        <f aca="true" t="shared" si="27" ref="W28:AK28">E28/D28</f>
        <v>0.9577977190234104</v>
      </c>
      <c r="X28" s="119">
        <f t="shared" si="27"/>
        <v>1.006274396869702</v>
      </c>
      <c r="Y28" s="119">
        <f t="shared" si="27"/>
        <v>1.0061598257553162</v>
      </c>
      <c r="Z28" s="119">
        <f t="shared" si="27"/>
        <v>1.0059535195835791</v>
      </c>
      <c r="AA28" s="119">
        <f t="shared" si="27"/>
        <v>1.00748308798349</v>
      </c>
      <c r="AB28" s="119">
        <f t="shared" si="27"/>
        <v>1.0096370963614596</v>
      </c>
      <c r="AC28" s="119">
        <f t="shared" si="27"/>
        <v>1.0088747279504793</v>
      </c>
      <c r="AD28" s="119">
        <f t="shared" si="27"/>
        <v>1.0087257957523281</v>
      </c>
      <c r="AE28" s="119">
        <f t="shared" si="27"/>
        <v>1.0083869728347201</v>
      </c>
      <c r="AF28" s="119">
        <f t="shared" si="27"/>
        <v>1.0082707048368096</v>
      </c>
      <c r="AG28" s="119">
        <f t="shared" si="27"/>
        <v>1.0072919225326358</v>
      </c>
      <c r="AH28" s="119">
        <f t="shared" si="27"/>
        <v>1.0072205371364369</v>
      </c>
      <c r="AI28" s="119">
        <f t="shared" si="27"/>
        <v>1.0065584282526456</v>
      </c>
      <c r="AJ28" s="119">
        <f t="shared" si="27"/>
        <v>1.005037337075518</v>
      </c>
      <c r="AK28" s="119">
        <f t="shared" si="27"/>
        <v>1.0049163354466957</v>
      </c>
    </row>
    <row r="29" spans="1:37" ht="39.75" customHeight="1">
      <c r="A29" s="50" t="s">
        <v>25</v>
      </c>
      <c r="B29" s="42" t="s">
        <v>24</v>
      </c>
      <c r="C29" s="24">
        <f aca="true" t="shared" si="28" ref="C29:S29">C7-C20</f>
        <v>14570387</v>
      </c>
      <c r="D29" s="24">
        <f t="shared" si="28"/>
        <v>13882608.74499999</v>
      </c>
      <c r="E29" s="24">
        <f t="shared" si="28"/>
        <v>10229493.111324996</v>
      </c>
      <c r="F29" s="24">
        <f t="shared" si="28"/>
        <v>10308174.310807124</v>
      </c>
      <c r="G29" s="24">
        <f t="shared" si="28"/>
        <v>9632421.874030098</v>
      </c>
      <c r="H29" s="24">
        <f t="shared" si="28"/>
        <v>10661931.753761828</v>
      </c>
      <c r="I29" s="24">
        <f t="shared" si="28"/>
        <v>12224358.239969596</v>
      </c>
      <c r="J29" s="24">
        <f t="shared" si="28"/>
        <v>12141327.286792457</v>
      </c>
      <c r="K29" s="24">
        <f t="shared" si="28"/>
        <v>12137033.777994215</v>
      </c>
      <c r="L29" s="70">
        <f t="shared" si="28"/>
        <v>10135325.175011426</v>
      </c>
      <c r="M29" s="70">
        <f t="shared" si="28"/>
        <v>10094628.959193721</v>
      </c>
      <c r="N29" s="70">
        <f t="shared" si="28"/>
        <v>9825247.650614858</v>
      </c>
      <c r="O29" s="70">
        <f t="shared" si="28"/>
        <v>9855963.827216074</v>
      </c>
      <c r="P29" s="70">
        <f t="shared" si="28"/>
        <v>10191510.144288138</v>
      </c>
      <c r="Q29" s="70">
        <f t="shared" si="28"/>
        <v>10733770.35429725</v>
      </c>
      <c r="R29" s="70">
        <f t="shared" si="28"/>
        <v>11177670.327061206</v>
      </c>
      <c r="S29" s="24">
        <f t="shared" si="28"/>
        <v>9974570.070281312</v>
      </c>
      <c r="T29" s="161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</row>
    <row r="30" spans="1:37" ht="21" customHeight="1">
      <c r="A30" s="50" t="s">
        <v>27</v>
      </c>
      <c r="B30" s="42" t="s">
        <v>5</v>
      </c>
      <c r="C30" s="25">
        <f>C31+C32+C33</f>
        <v>2610616</v>
      </c>
      <c r="D30" s="25">
        <f>D31+D32+D33</f>
        <v>9700000</v>
      </c>
      <c r="E30" s="25">
        <f>E32</f>
        <v>824436.7449999899</v>
      </c>
      <c r="F30" s="25">
        <f aca="true" t="shared" si="29" ref="F30:S30">F31+F32</f>
        <v>631396.8563249856</v>
      </c>
      <c r="G30" s="25">
        <f t="shared" si="29"/>
        <v>711905.1671321094</v>
      </c>
      <c r="H30" s="25">
        <f t="shared" si="29"/>
        <v>1041703.0411622077</v>
      </c>
      <c r="I30" s="25">
        <f t="shared" si="29"/>
        <v>795470.7949240357</v>
      </c>
      <c r="J30" s="25">
        <f t="shared" si="29"/>
        <v>756196.0348936319</v>
      </c>
      <c r="K30" s="25">
        <f t="shared" si="29"/>
        <v>1175090.321686089</v>
      </c>
      <c r="L30" s="25">
        <f t="shared" si="29"/>
        <v>820504.0996803045</v>
      </c>
      <c r="M30" s="25">
        <f t="shared" si="29"/>
        <v>593040.2746917307</v>
      </c>
      <c r="N30" s="25">
        <f t="shared" si="29"/>
        <v>445355.23388545215</v>
      </c>
      <c r="O30" s="25">
        <f t="shared" si="29"/>
        <v>613109.8845003098</v>
      </c>
      <c r="P30" s="25">
        <f t="shared" si="29"/>
        <v>723120.7117163837</v>
      </c>
      <c r="Q30" s="25">
        <f t="shared" si="29"/>
        <v>756188.8560045213</v>
      </c>
      <c r="R30" s="37">
        <f t="shared" si="29"/>
        <v>1053759.2103017718</v>
      </c>
      <c r="S30" s="25">
        <f t="shared" si="29"/>
        <v>795229.5373629779</v>
      </c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/>
      <c r="AF30"/>
      <c r="AG30"/>
      <c r="AH30"/>
      <c r="AI30"/>
      <c r="AJ30"/>
      <c r="AK30"/>
    </row>
    <row r="31" spans="1:37" ht="16.5" customHeight="1">
      <c r="A31" s="49" t="s">
        <v>28</v>
      </c>
      <c r="B31" s="44" t="s">
        <v>26</v>
      </c>
      <c r="C31" s="10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12">
        <v>0</v>
      </c>
      <c r="T31" s="163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</row>
    <row r="32" spans="1:38" ht="16.5" customHeight="1">
      <c r="A32" s="49" t="s">
        <v>29</v>
      </c>
      <c r="B32" s="44" t="s">
        <v>118</v>
      </c>
      <c r="C32" s="10">
        <f>1059010+41606</f>
        <v>1100616</v>
      </c>
      <c r="D32" s="10">
        <f>C56</f>
        <v>0</v>
      </c>
      <c r="E32" s="94">
        <f>D56</f>
        <v>824436.7449999899</v>
      </c>
      <c r="F32" s="10">
        <f aca="true" t="shared" si="30" ref="F32:S32">E56</f>
        <v>631396.8563249856</v>
      </c>
      <c r="G32" s="10">
        <f t="shared" si="30"/>
        <v>711905.1671321094</v>
      </c>
      <c r="H32" s="10">
        <f t="shared" si="30"/>
        <v>1041703.0411622077</v>
      </c>
      <c r="I32" s="10">
        <f t="shared" si="30"/>
        <v>795470.7949240357</v>
      </c>
      <c r="J32" s="10">
        <f t="shared" si="30"/>
        <v>756196.0348936319</v>
      </c>
      <c r="K32" s="10">
        <f t="shared" si="30"/>
        <v>1175090.321686089</v>
      </c>
      <c r="L32" s="10">
        <f t="shared" si="30"/>
        <v>820504.0996803045</v>
      </c>
      <c r="M32" s="10">
        <f t="shared" si="30"/>
        <v>593040.2746917307</v>
      </c>
      <c r="N32" s="10">
        <f t="shared" si="30"/>
        <v>445355.23388545215</v>
      </c>
      <c r="O32" s="10">
        <f t="shared" si="30"/>
        <v>613109.8845003098</v>
      </c>
      <c r="P32" s="10">
        <f t="shared" si="30"/>
        <v>723120.7117163837</v>
      </c>
      <c r="Q32" s="10">
        <f t="shared" si="30"/>
        <v>756188.8560045213</v>
      </c>
      <c r="R32" s="19">
        <f t="shared" si="30"/>
        <v>1053759.2103017718</v>
      </c>
      <c r="S32" s="10">
        <f t="shared" si="30"/>
        <v>795229.5373629779</v>
      </c>
      <c r="T32" s="163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</row>
    <row r="33" spans="1:38" ht="40.5" customHeight="1">
      <c r="A33" s="49" t="s">
        <v>30</v>
      </c>
      <c r="B33" s="44" t="s">
        <v>146</v>
      </c>
      <c r="C33" s="10">
        <v>1510000</v>
      </c>
      <c r="D33" s="12">
        <v>9700000</v>
      </c>
      <c r="E33" s="12">
        <v>0</v>
      </c>
      <c r="F33" s="12">
        <v>0</v>
      </c>
      <c r="G33" s="20">
        <v>0</v>
      </c>
      <c r="H33" s="13">
        <v>0</v>
      </c>
      <c r="I33" s="13">
        <v>0</v>
      </c>
      <c r="J33" s="13">
        <v>0</v>
      </c>
      <c r="K33" s="13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13">
        <v>0</v>
      </c>
      <c r="T33" s="163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</row>
    <row r="34" spans="1:38" ht="44.25" customHeight="1">
      <c r="A34" s="50" t="s">
        <v>31</v>
      </c>
      <c r="B34" s="42" t="s">
        <v>101</v>
      </c>
      <c r="C34" s="25">
        <f aca="true" t="shared" si="31" ref="C34:S34">C29+C30</f>
        <v>17181003</v>
      </c>
      <c r="D34" s="25">
        <f t="shared" si="31"/>
        <v>23582608.74499999</v>
      </c>
      <c r="E34" s="25">
        <f t="shared" si="31"/>
        <v>11053929.856324986</v>
      </c>
      <c r="F34" s="25">
        <f t="shared" si="31"/>
        <v>10939571.16713211</v>
      </c>
      <c r="G34" s="25">
        <f t="shared" si="31"/>
        <v>10344327.041162208</v>
      </c>
      <c r="H34" s="25">
        <f t="shared" si="31"/>
        <v>11703634.794924036</v>
      </c>
      <c r="I34" s="25">
        <f t="shared" si="31"/>
        <v>13019829.034893632</v>
      </c>
      <c r="J34" s="25">
        <f t="shared" si="31"/>
        <v>12897523.321686089</v>
      </c>
      <c r="K34" s="25">
        <f t="shared" si="31"/>
        <v>13312124.099680305</v>
      </c>
      <c r="L34" s="37">
        <f t="shared" si="31"/>
        <v>10955829.27469173</v>
      </c>
      <c r="M34" s="37">
        <f t="shared" si="31"/>
        <v>10687669.233885452</v>
      </c>
      <c r="N34" s="37">
        <f t="shared" si="31"/>
        <v>10270602.88450031</v>
      </c>
      <c r="O34" s="37">
        <f t="shared" si="31"/>
        <v>10469073.711716384</v>
      </c>
      <c r="P34" s="37">
        <f t="shared" si="31"/>
        <v>10914630.856004521</v>
      </c>
      <c r="Q34" s="37">
        <f t="shared" si="31"/>
        <v>11489959.210301772</v>
      </c>
      <c r="R34" s="37">
        <f t="shared" si="31"/>
        <v>12231429.537362978</v>
      </c>
      <c r="S34" s="126">
        <f t="shared" si="31"/>
        <v>10769799.60764429</v>
      </c>
      <c r="T34" s="156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</row>
    <row r="35" spans="1:37" ht="26.25" customHeight="1">
      <c r="A35" s="50" t="s">
        <v>32</v>
      </c>
      <c r="B35" s="42" t="s">
        <v>102</v>
      </c>
      <c r="C35" s="25">
        <f>C37+C41+C43</f>
        <v>3535914</v>
      </c>
      <c r="D35" s="25">
        <f>D37+D41+D43</f>
        <v>8902700</v>
      </c>
      <c r="E35" s="25">
        <f aca="true" t="shared" si="32" ref="E35:R35">E37+E41+E43</f>
        <v>4782533</v>
      </c>
      <c r="F35" s="25">
        <f t="shared" si="32"/>
        <v>4727666</v>
      </c>
      <c r="G35" s="25">
        <f t="shared" si="32"/>
        <v>4567624</v>
      </c>
      <c r="H35" s="25">
        <f t="shared" si="32"/>
        <v>4408164</v>
      </c>
      <c r="I35" s="25">
        <f t="shared" si="32"/>
        <v>4263633</v>
      </c>
      <c r="J35" s="25">
        <f>J37+J41+J43</f>
        <v>3722433</v>
      </c>
      <c r="K35" s="25">
        <f t="shared" si="32"/>
        <v>3491620</v>
      </c>
      <c r="L35" s="25">
        <f t="shared" si="32"/>
        <v>3362789</v>
      </c>
      <c r="M35" s="25">
        <f>M37+M41+M43</f>
        <v>3242314</v>
      </c>
      <c r="N35" s="25">
        <f t="shared" si="32"/>
        <v>2657493</v>
      </c>
      <c r="O35" s="25">
        <f>O37+O41+O43</f>
        <v>2245953</v>
      </c>
      <c r="P35" s="25">
        <f t="shared" si="32"/>
        <v>2158442</v>
      </c>
      <c r="Q35" s="25">
        <f>Q37+Q41+Q43</f>
        <v>436200</v>
      </c>
      <c r="R35" s="25">
        <f t="shared" si="32"/>
        <v>436200</v>
      </c>
      <c r="S35" s="25">
        <f>S37+S41+S43</f>
        <v>436200</v>
      </c>
      <c r="T35" s="156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/>
      <c r="AF35"/>
      <c r="AG35"/>
      <c r="AH35"/>
      <c r="AI35"/>
      <c r="AJ35"/>
      <c r="AK35"/>
    </row>
    <row r="36" spans="1:37" ht="12.75" customHeight="1">
      <c r="A36" s="49" t="s">
        <v>33</v>
      </c>
      <c r="B36" s="44" t="s">
        <v>103</v>
      </c>
      <c r="C36" s="10">
        <f>C37+C41</f>
        <v>1936200</v>
      </c>
      <c r="D36" s="10">
        <f>D37+D41</f>
        <v>2281230</v>
      </c>
      <c r="E36" s="10">
        <f>E37+E41</f>
        <v>1947863</v>
      </c>
      <c r="F36" s="10">
        <f>F37+F41</f>
        <v>1790996</v>
      </c>
      <c r="G36" s="10">
        <f>G37+G41</f>
        <v>1630954</v>
      </c>
      <c r="H36" s="10">
        <f aca="true" t="shared" si="33" ref="H36:M36">H37+H39+H41</f>
        <v>1471494</v>
      </c>
      <c r="I36" s="10">
        <f t="shared" si="33"/>
        <v>1326963</v>
      </c>
      <c r="J36" s="10">
        <f t="shared" si="33"/>
        <v>1171963</v>
      </c>
      <c r="K36" s="10">
        <f t="shared" si="33"/>
        <v>1043150</v>
      </c>
      <c r="L36" s="19">
        <f t="shared" si="33"/>
        <v>914319</v>
      </c>
      <c r="M36" s="19">
        <f t="shared" si="33"/>
        <v>793844</v>
      </c>
      <c r="N36" s="19">
        <f aca="true" t="shared" si="34" ref="N36:S36">N37+N39+N41</f>
        <v>671973</v>
      </c>
      <c r="O36" s="19">
        <f t="shared" si="34"/>
        <v>587433</v>
      </c>
      <c r="P36" s="19">
        <f t="shared" si="34"/>
        <v>499900</v>
      </c>
      <c r="Q36" s="19">
        <f t="shared" si="34"/>
        <v>436200</v>
      </c>
      <c r="R36" s="19">
        <f t="shared" si="34"/>
        <v>436200</v>
      </c>
      <c r="S36" s="10">
        <f t="shared" si="34"/>
        <v>436200</v>
      </c>
      <c r="T36" s="158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/>
      <c r="AF36"/>
      <c r="AG36"/>
      <c r="AH36"/>
      <c r="AI36"/>
      <c r="AJ36"/>
      <c r="AK36"/>
    </row>
    <row r="37" spans="1:37" ht="14.25" customHeight="1">
      <c r="A37" s="49" t="s">
        <v>34</v>
      </c>
      <c r="B37" s="44" t="s">
        <v>35</v>
      </c>
      <c r="C37" s="10">
        <v>1500000</v>
      </c>
      <c r="D37" s="10">
        <v>1845030</v>
      </c>
      <c r="E37" s="10">
        <v>1511663</v>
      </c>
      <c r="F37" s="10">
        <v>1354796</v>
      </c>
      <c r="G37" s="10">
        <v>1194754</v>
      </c>
      <c r="H37" s="12">
        <v>1035294</v>
      </c>
      <c r="I37" s="12">
        <v>890763</v>
      </c>
      <c r="J37" s="12">
        <v>735763</v>
      </c>
      <c r="K37" s="12">
        <v>606950</v>
      </c>
      <c r="L37" s="72">
        <v>478119</v>
      </c>
      <c r="M37" s="72">
        <v>357644</v>
      </c>
      <c r="N37" s="72">
        <v>235773</v>
      </c>
      <c r="O37" s="72">
        <v>151233</v>
      </c>
      <c r="P37" s="72">
        <v>63700</v>
      </c>
      <c r="Q37" s="72">
        <v>0</v>
      </c>
      <c r="R37" s="86">
        <v>0</v>
      </c>
      <c r="S37" s="86">
        <v>0</v>
      </c>
      <c r="T37" s="156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/>
      <c r="AF37"/>
      <c r="AG37"/>
      <c r="AH37"/>
      <c r="AI37"/>
      <c r="AJ37"/>
      <c r="AK37"/>
    </row>
    <row r="38" spans="1:37" ht="51" customHeight="1">
      <c r="A38" s="49"/>
      <c r="B38" s="44" t="s">
        <v>38</v>
      </c>
      <c r="C38" s="10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12">
        <v>0</v>
      </c>
      <c r="T38" s="158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/>
      <c r="AF38"/>
      <c r="AG38"/>
      <c r="AH38"/>
      <c r="AI38"/>
      <c r="AJ38"/>
      <c r="AK38"/>
    </row>
    <row r="39" spans="1:30" ht="27.75" customHeight="1">
      <c r="A39" s="49" t="s">
        <v>37</v>
      </c>
      <c r="B39" s="44" t="s">
        <v>4</v>
      </c>
      <c r="C39" s="10">
        <v>0</v>
      </c>
      <c r="D39" s="12">
        <v>0</v>
      </c>
      <c r="E39" s="12">
        <v>0</v>
      </c>
      <c r="F39" s="12">
        <v>0</v>
      </c>
      <c r="G39" s="20">
        <v>0</v>
      </c>
      <c r="H39" s="13">
        <v>0</v>
      </c>
      <c r="I39" s="13">
        <v>0</v>
      </c>
      <c r="J39" s="13">
        <v>0</v>
      </c>
      <c r="K39" s="13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13">
        <v>0</v>
      </c>
      <c r="T39" s="151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</row>
    <row r="40" spans="1:30" ht="53.25" customHeight="1">
      <c r="A40" s="49"/>
      <c r="B40" s="44" t="s">
        <v>38</v>
      </c>
      <c r="C40" s="10">
        <v>0</v>
      </c>
      <c r="D40" s="12">
        <v>0</v>
      </c>
      <c r="E40" s="12">
        <v>0</v>
      </c>
      <c r="F40" s="12">
        <v>0</v>
      </c>
      <c r="G40" s="20">
        <v>0</v>
      </c>
      <c r="H40" s="13">
        <v>0</v>
      </c>
      <c r="I40" s="13">
        <v>0</v>
      </c>
      <c r="J40" s="13">
        <v>0</v>
      </c>
      <c r="K40" s="13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13">
        <v>0</v>
      </c>
      <c r="T40" s="151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</row>
    <row r="41" spans="1:19" ht="39" customHeight="1">
      <c r="A41" s="49" t="s">
        <v>36</v>
      </c>
      <c r="B41" s="44" t="s">
        <v>81</v>
      </c>
      <c r="C41" s="10">
        <v>436200</v>
      </c>
      <c r="D41" s="10">
        <v>436200</v>
      </c>
      <c r="E41" s="10">
        <v>436200</v>
      </c>
      <c r="F41" s="10">
        <v>436200</v>
      </c>
      <c r="G41" s="10">
        <v>436200</v>
      </c>
      <c r="H41" s="10">
        <v>436200</v>
      </c>
      <c r="I41" s="10">
        <v>436200</v>
      </c>
      <c r="J41" s="10">
        <v>436200</v>
      </c>
      <c r="K41" s="10">
        <v>436200</v>
      </c>
      <c r="L41" s="19">
        <v>436200</v>
      </c>
      <c r="M41" s="19">
        <v>436200</v>
      </c>
      <c r="N41" s="19">
        <v>436200</v>
      </c>
      <c r="O41" s="19">
        <v>436200</v>
      </c>
      <c r="P41" s="19">
        <v>436200</v>
      </c>
      <c r="Q41" s="19">
        <v>436200</v>
      </c>
      <c r="R41" s="19">
        <v>436200</v>
      </c>
      <c r="S41" s="10">
        <v>436200</v>
      </c>
    </row>
    <row r="42" spans="1:19" ht="55.5" customHeight="1">
      <c r="A42" s="49"/>
      <c r="B42" s="44" t="s">
        <v>38</v>
      </c>
      <c r="C42" s="10">
        <v>0</v>
      </c>
      <c r="D42" s="12">
        <v>0</v>
      </c>
      <c r="E42" s="12">
        <v>0</v>
      </c>
      <c r="F42" s="12">
        <v>0</v>
      </c>
      <c r="G42" s="20">
        <v>0</v>
      </c>
      <c r="H42" s="13">
        <v>0</v>
      </c>
      <c r="I42" s="13">
        <v>0</v>
      </c>
      <c r="J42" s="13">
        <v>0</v>
      </c>
      <c r="K42" s="13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13">
        <v>0</v>
      </c>
    </row>
    <row r="43" spans="1:19" ht="27.75" customHeight="1">
      <c r="A43" s="51" t="s">
        <v>39</v>
      </c>
      <c r="B43" s="52" t="s">
        <v>104</v>
      </c>
      <c r="C43" s="22">
        <v>1599714</v>
      </c>
      <c r="D43" s="26">
        <v>6621470</v>
      </c>
      <c r="E43" s="26">
        <v>2834670</v>
      </c>
      <c r="F43" s="26">
        <v>2936670</v>
      </c>
      <c r="G43" s="26">
        <v>2936670</v>
      </c>
      <c r="H43" s="26">
        <v>2936670</v>
      </c>
      <c r="I43" s="26">
        <v>2936670</v>
      </c>
      <c r="J43" s="26">
        <v>2550470</v>
      </c>
      <c r="K43" s="26">
        <v>2448470</v>
      </c>
      <c r="L43" s="26">
        <v>2448470</v>
      </c>
      <c r="M43" s="26">
        <v>2448470</v>
      </c>
      <c r="N43" s="76">
        <v>1985520</v>
      </c>
      <c r="O43" s="76">
        <v>1658520</v>
      </c>
      <c r="P43" s="76">
        <v>1658542</v>
      </c>
      <c r="Q43" s="76">
        <v>0</v>
      </c>
      <c r="R43" s="76">
        <v>0</v>
      </c>
      <c r="S43" s="26">
        <v>0</v>
      </c>
    </row>
    <row r="44" spans="1:19" ht="53.25" customHeight="1">
      <c r="A44" s="49"/>
      <c r="B44" s="44" t="s">
        <v>38</v>
      </c>
      <c r="C44" s="10">
        <v>0</v>
      </c>
      <c r="D44" s="12">
        <v>0</v>
      </c>
      <c r="E44" s="12">
        <v>0</v>
      </c>
      <c r="F44" s="12">
        <v>0</v>
      </c>
      <c r="G44" s="20">
        <v>0</v>
      </c>
      <c r="H44" s="13">
        <v>0</v>
      </c>
      <c r="I44" s="13">
        <v>0</v>
      </c>
      <c r="J44" s="13">
        <v>0</v>
      </c>
      <c r="K44" s="13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13">
        <v>0</v>
      </c>
    </row>
    <row r="45" spans="1:19" ht="28.5" customHeight="1">
      <c r="A45" s="50" t="s">
        <v>40</v>
      </c>
      <c r="B45" s="42" t="s">
        <v>148</v>
      </c>
      <c r="C45" s="25">
        <v>0</v>
      </c>
      <c r="D45" s="14">
        <v>0</v>
      </c>
      <c r="E45" s="14">
        <v>0</v>
      </c>
      <c r="F45" s="14">
        <v>0</v>
      </c>
      <c r="G45" s="31">
        <v>0</v>
      </c>
      <c r="H45" s="53">
        <v>0</v>
      </c>
      <c r="I45" s="53">
        <v>0</v>
      </c>
      <c r="J45" s="53">
        <v>0</v>
      </c>
      <c r="K45" s="53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53">
        <v>0</v>
      </c>
    </row>
    <row r="46" spans="1:19" ht="37.5" customHeight="1">
      <c r="A46" s="50" t="s">
        <v>41</v>
      </c>
      <c r="B46" s="42" t="s">
        <v>105</v>
      </c>
      <c r="C46" s="25">
        <f aca="true" t="shared" si="35" ref="C46:S46">C34-C35-C45</f>
        <v>13645089</v>
      </c>
      <c r="D46" s="25">
        <f t="shared" si="35"/>
        <v>14679908.74499999</v>
      </c>
      <c r="E46" s="25">
        <f t="shared" si="35"/>
        <v>6271396.856324986</v>
      </c>
      <c r="F46" s="25">
        <f t="shared" si="35"/>
        <v>6211905.167132109</v>
      </c>
      <c r="G46" s="25">
        <f t="shared" si="35"/>
        <v>5776703.041162208</v>
      </c>
      <c r="H46" s="25">
        <f t="shared" si="35"/>
        <v>7295470.794924036</v>
      </c>
      <c r="I46" s="25">
        <f t="shared" si="35"/>
        <v>8756196.034893632</v>
      </c>
      <c r="J46" s="25">
        <f t="shared" si="35"/>
        <v>9175090.321686089</v>
      </c>
      <c r="K46" s="25">
        <f t="shared" si="35"/>
        <v>9820504.099680305</v>
      </c>
      <c r="L46" s="37">
        <f t="shared" si="35"/>
        <v>7593040.274691731</v>
      </c>
      <c r="M46" s="37">
        <f t="shared" si="35"/>
        <v>7445355.233885452</v>
      </c>
      <c r="N46" s="37">
        <f t="shared" si="35"/>
        <v>7613109.88450031</v>
      </c>
      <c r="O46" s="37">
        <f t="shared" si="35"/>
        <v>8223120.711716384</v>
      </c>
      <c r="P46" s="37">
        <f t="shared" si="35"/>
        <v>8756188.856004521</v>
      </c>
      <c r="Q46" s="37">
        <f t="shared" si="35"/>
        <v>11053759.210301772</v>
      </c>
      <c r="R46" s="37">
        <f t="shared" si="35"/>
        <v>11795229.537362978</v>
      </c>
      <c r="S46" s="25">
        <f t="shared" si="35"/>
        <v>10333599.60764429</v>
      </c>
    </row>
    <row r="47" spans="1:19" ht="22.5" customHeight="1">
      <c r="A47" s="41" t="s">
        <v>43</v>
      </c>
      <c r="B47" s="42" t="s">
        <v>8</v>
      </c>
      <c r="C47" s="25">
        <f>18005104+985</f>
        <v>18006089</v>
      </c>
      <c r="D47" s="14">
        <v>17125472</v>
      </c>
      <c r="E47" s="14">
        <v>6150000</v>
      </c>
      <c r="F47" s="14">
        <v>5500000</v>
      </c>
      <c r="G47" s="33">
        <v>4735000</v>
      </c>
      <c r="H47" s="14">
        <v>6500000</v>
      </c>
      <c r="I47" s="14">
        <v>8000000</v>
      </c>
      <c r="J47" s="14">
        <v>8000000</v>
      </c>
      <c r="K47" s="14">
        <v>9000000</v>
      </c>
      <c r="L47" s="33">
        <v>7000000</v>
      </c>
      <c r="M47" s="33">
        <v>7000000</v>
      </c>
      <c r="N47" s="33">
        <v>7000000</v>
      </c>
      <c r="O47" s="33">
        <v>7500000</v>
      </c>
      <c r="P47" s="33">
        <v>8000000</v>
      </c>
      <c r="Q47" s="33">
        <v>10000000</v>
      </c>
      <c r="R47" s="33">
        <v>11000000</v>
      </c>
      <c r="S47" s="14">
        <v>9500000</v>
      </c>
    </row>
    <row r="48" spans="1:19" ht="26.25" customHeight="1">
      <c r="A48" s="43" t="s">
        <v>44</v>
      </c>
      <c r="B48" s="44" t="s">
        <v>82</v>
      </c>
      <c r="C48" s="10">
        <v>12849882</v>
      </c>
      <c r="D48" s="121">
        <v>17125472</v>
      </c>
      <c r="E48" s="12">
        <v>6150000</v>
      </c>
      <c r="F48" s="12">
        <v>3400000</v>
      </c>
      <c r="G48" s="12">
        <v>4735000</v>
      </c>
      <c r="H48" s="12">
        <v>1800000</v>
      </c>
      <c r="I48" s="12">
        <v>0</v>
      </c>
      <c r="J48" s="12">
        <v>0</v>
      </c>
      <c r="K48" s="1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72">
        <v>0</v>
      </c>
      <c r="S48" s="12">
        <v>0</v>
      </c>
    </row>
    <row r="49" spans="1:19" ht="42" customHeight="1">
      <c r="A49" s="153"/>
      <c r="B49" s="44" t="s">
        <v>84</v>
      </c>
      <c r="C49" s="10">
        <v>4649688</v>
      </c>
      <c r="D49" s="12">
        <v>8475472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2">
        <v>0</v>
      </c>
      <c r="R49" s="72">
        <v>0</v>
      </c>
      <c r="S49" s="12">
        <v>0</v>
      </c>
    </row>
    <row r="50" spans="1:19" ht="25.5" customHeight="1">
      <c r="A50" s="154"/>
      <c r="B50" s="44" t="s">
        <v>45</v>
      </c>
      <c r="C50" s="10">
        <f aca="true" t="shared" si="36" ref="C50:H50">C48-C49</f>
        <v>8200194</v>
      </c>
      <c r="D50" s="10">
        <f t="shared" si="36"/>
        <v>8650000</v>
      </c>
      <c r="E50" s="10">
        <f t="shared" si="36"/>
        <v>6150000</v>
      </c>
      <c r="F50" s="10">
        <f t="shared" si="36"/>
        <v>3400000</v>
      </c>
      <c r="G50" s="10">
        <f t="shared" si="36"/>
        <v>4735000</v>
      </c>
      <c r="H50" s="10">
        <f t="shared" si="36"/>
        <v>1800000</v>
      </c>
      <c r="I50" s="10">
        <f>I48-I49</f>
        <v>0</v>
      </c>
      <c r="J50" s="10">
        <f>J48-J49</f>
        <v>0</v>
      </c>
      <c r="K50" s="1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2">
        <v>0</v>
      </c>
      <c r="S50" s="12">
        <v>0</v>
      </c>
    </row>
    <row r="51" spans="1:19" ht="27.75" customHeight="1">
      <c r="A51" s="155"/>
      <c r="B51" s="44" t="s">
        <v>21</v>
      </c>
      <c r="C51" s="10">
        <v>0</v>
      </c>
      <c r="D51" s="12">
        <v>0</v>
      </c>
      <c r="E51" s="12">
        <v>0</v>
      </c>
      <c r="F51" s="13">
        <v>0</v>
      </c>
      <c r="G51" s="20">
        <v>0</v>
      </c>
      <c r="H51" s="13">
        <v>0</v>
      </c>
      <c r="I51" s="13">
        <v>0</v>
      </c>
      <c r="J51" s="13">
        <v>0</v>
      </c>
      <c r="K51" s="13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13">
        <v>0</v>
      </c>
    </row>
    <row r="52" spans="1:19" ht="15.75" customHeight="1">
      <c r="A52" s="43" t="s">
        <v>46</v>
      </c>
      <c r="B52" s="44" t="s">
        <v>47</v>
      </c>
      <c r="C52" s="10">
        <f aca="true" t="shared" si="37" ref="C52:S52">C47-C48</f>
        <v>5156207</v>
      </c>
      <c r="D52" s="10">
        <f t="shared" si="37"/>
        <v>0</v>
      </c>
      <c r="E52" s="10">
        <f t="shared" si="37"/>
        <v>0</v>
      </c>
      <c r="F52" s="10">
        <f t="shared" si="37"/>
        <v>2100000</v>
      </c>
      <c r="G52" s="10">
        <f t="shared" si="37"/>
        <v>0</v>
      </c>
      <c r="H52" s="10">
        <f t="shared" si="37"/>
        <v>4700000</v>
      </c>
      <c r="I52" s="10">
        <f t="shared" si="37"/>
        <v>8000000</v>
      </c>
      <c r="J52" s="10">
        <f t="shared" si="37"/>
        <v>8000000</v>
      </c>
      <c r="K52" s="10">
        <f t="shared" si="37"/>
        <v>9000000</v>
      </c>
      <c r="L52" s="10">
        <f t="shared" si="37"/>
        <v>7000000</v>
      </c>
      <c r="M52" s="10">
        <f t="shared" si="37"/>
        <v>7000000</v>
      </c>
      <c r="N52" s="10">
        <f t="shared" si="37"/>
        <v>7000000</v>
      </c>
      <c r="O52" s="10">
        <f t="shared" si="37"/>
        <v>7500000</v>
      </c>
      <c r="P52" s="10">
        <f t="shared" si="37"/>
        <v>8000000</v>
      </c>
      <c r="Q52" s="10">
        <f t="shared" si="37"/>
        <v>10000000</v>
      </c>
      <c r="R52" s="10">
        <f t="shared" si="37"/>
        <v>11000000</v>
      </c>
      <c r="S52" s="10">
        <f t="shared" si="37"/>
        <v>9500000</v>
      </c>
    </row>
    <row r="53" spans="1:19" ht="26.25" customHeight="1">
      <c r="A53" s="43"/>
      <c r="B53" s="44" t="s">
        <v>115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0">
        <v>0</v>
      </c>
    </row>
    <row r="54" spans="1:19" ht="43.5" customHeight="1">
      <c r="A54" s="41" t="s">
        <v>48</v>
      </c>
      <c r="B54" s="42" t="s">
        <v>96</v>
      </c>
      <c r="C54" s="25">
        <v>4361000</v>
      </c>
      <c r="D54" s="25">
        <v>3270000</v>
      </c>
      <c r="E54" s="25">
        <v>510000</v>
      </c>
      <c r="F54" s="25">
        <v>0</v>
      </c>
      <c r="G54" s="37">
        <v>0</v>
      </c>
      <c r="H54" s="53">
        <v>0</v>
      </c>
      <c r="I54" s="53">
        <v>0</v>
      </c>
      <c r="J54" s="53">
        <v>0</v>
      </c>
      <c r="K54" s="53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53">
        <v>0</v>
      </c>
    </row>
    <row r="55" spans="1:19" ht="51.75" customHeight="1">
      <c r="A55" s="43"/>
      <c r="B55" s="44" t="s">
        <v>38</v>
      </c>
      <c r="C55" s="10">
        <v>0</v>
      </c>
      <c r="D55" s="10">
        <v>0</v>
      </c>
      <c r="E55" s="10">
        <v>0</v>
      </c>
      <c r="F55" s="10">
        <v>0</v>
      </c>
      <c r="G55" s="19">
        <v>0</v>
      </c>
      <c r="H55" s="13">
        <v>0</v>
      </c>
      <c r="I55" s="13">
        <v>0</v>
      </c>
      <c r="J55" s="13">
        <v>0</v>
      </c>
      <c r="K55" s="13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13">
        <v>0</v>
      </c>
    </row>
    <row r="56" spans="1:19" ht="19.5" customHeight="1">
      <c r="A56" s="41" t="s">
        <v>49</v>
      </c>
      <c r="B56" s="42" t="s">
        <v>50</v>
      </c>
      <c r="C56" s="25">
        <f aca="true" t="shared" si="38" ref="C56:S56">C46-C47+C54</f>
        <v>0</v>
      </c>
      <c r="D56" s="25">
        <f t="shared" si="38"/>
        <v>824436.7449999899</v>
      </c>
      <c r="E56" s="25">
        <f t="shared" si="38"/>
        <v>631396.8563249856</v>
      </c>
      <c r="F56" s="25">
        <f t="shared" si="38"/>
        <v>711905.1671321094</v>
      </c>
      <c r="G56" s="25">
        <f t="shared" si="38"/>
        <v>1041703.0411622077</v>
      </c>
      <c r="H56" s="25">
        <f t="shared" si="38"/>
        <v>795470.7949240357</v>
      </c>
      <c r="I56" s="25">
        <f t="shared" si="38"/>
        <v>756196.0348936319</v>
      </c>
      <c r="J56" s="25">
        <f t="shared" si="38"/>
        <v>1175090.321686089</v>
      </c>
      <c r="K56" s="25">
        <f t="shared" si="38"/>
        <v>820504.0996803045</v>
      </c>
      <c r="L56" s="37">
        <f t="shared" si="38"/>
        <v>593040.2746917307</v>
      </c>
      <c r="M56" s="37">
        <f t="shared" si="38"/>
        <v>445355.23388545215</v>
      </c>
      <c r="N56" s="37">
        <f t="shared" si="38"/>
        <v>613109.8845003098</v>
      </c>
      <c r="O56" s="37">
        <f t="shared" si="38"/>
        <v>723120.7117163837</v>
      </c>
      <c r="P56" s="37">
        <f t="shared" si="38"/>
        <v>756188.8560045213</v>
      </c>
      <c r="Q56" s="37">
        <f t="shared" si="38"/>
        <v>1053759.2103017718</v>
      </c>
      <c r="R56" s="37">
        <f t="shared" si="38"/>
        <v>795229.5373629779</v>
      </c>
      <c r="S56" s="25">
        <f t="shared" si="38"/>
        <v>833599.6076442897</v>
      </c>
    </row>
    <row r="57" spans="1:19" ht="21" customHeight="1">
      <c r="A57" s="41" t="s">
        <v>51</v>
      </c>
      <c r="B57" s="42" t="s">
        <v>52</v>
      </c>
      <c r="C57" s="25">
        <v>32621282</v>
      </c>
      <c r="D57" s="25">
        <v>29269812</v>
      </c>
      <c r="E57" s="25">
        <v>26945142</v>
      </c>
      <c r="F57" s="25">
        <v>24008472</v>
      </c>
      <c r="G57" s="25">
        <v>21071802</v>
      </c>
      <c r="H57" s="25">
        <v>18135132</v>
      </c>
      <c r="I57" s="25">
        <v>15198462</v>
      </c>
      <c r="J57" s="25">
        <v>12647992</v>
      </c>
      <c r="K57" s="25">
        <v>10199522</v>
      </c>
      <c r="L57" s="37">
        <v>7751052</v>
      </c>
      <c r="M57" s="98">
        <v>5302582</v>
      </c>
      <c r="N57" s="98">
        <v>3317062</v>
      </c>
      <c r="O57" s="98">
        <v>1658542</v>
      </c>
      <c r="P57" s="89">
        <v>0</v>
      </c>
      <c r="Q57" s="89">
        <v>0</v>
      </c>
      <c r="R57" s="89">
        <v>0</v>
      </c>
      <c r="S57" s="88">
        <v>0</v>
      </c>
    </row>
    <row r="58" spans="1:19" ht="52.5" customHeight="1">
      <c r="A58" s="28"/>
      <c r="B58" s="44" t="s">
        <v>53</v>
      </c>
      <c r="C58" s="10">
        <v>0</v>
      </c>
      <c r="D58" s="68">
        <v>0</v>
      </c>
      <c r="E58" s="22">
        <v>0</v>
      </c>
      <c r="F58" s="22">
        <v>0</v>
      </c>
      <c r="G58" s="27">
        <v>0</v>
      </c>
      <c r="H58" s="54">
        <v>0</v>
      </c>
      <c r="I58" s="54">
        <v>0</v>
      </c>
      <c r="J58" s="54">
        <v>0</v>
      </c>
      <c r="K58" s="54">
        <v>0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  <c r="R58" s="77">
        <v>0</v>
      </c>
      <c r="S58" s="54">
        <v>0</v>
      </c>
    </row>
    <row r="59" spans="1:19" ht="18.75" customHeight="1">
      <c r="A59" s="41" t="s">
        <v>54</v>
      </c>
      <c r="B59" s="42" t="s">
        <v>55</v>
      </c>
      <c r="C59" s="116">
        <v>1599714</v>
      </c>
      <c r="D59" s="117">
        <v>6621470</v>
      </c>
      <c r="E59" s="117">
        <v>2834670</v>
      </c>
      <c r="F59" s="117">
        <v>2936670</v>
      </c>
      <c r="G59" s="117">
        <v>2936670</v>
      </c>
      <c r="H59" s="117">
        <v>2936670</v>
      </c>
      <c r="I59" s="117">
        <v>2936670</v>
      </c>
      <c r="J59" s="117">
        <v>2550470</v>
      </c>
      <c r="K59" s="117">
        <v>2448470</v>
      </c>
      <c r="L59" s="117">
        <v>2448470</v>
      </c>
      <c r="M59" s="117">
        <v>2448470</v>
      </c>
      <c r="N59" s="118">
        <v>1985520</v>
      </c>
      <c r="O59" s="118">
        <v>1658520</v>
      </c>
      <c r="P59" s="118">
        <v>1658542</v>
      </c>
      <c r="Q59" s="118">
        <v>0</v>
      </c>
      <c r="R59" s="118">
        <v>0</v>
      </c>
      <c r="S59" s="117">
        <v>0</v>
      </c>
    </row>
    <row r="60" spans="1:19" ht="51.75" customHeight="1">
      <c r="A60" s="28"/>
      <c r="B60" s="44" t="s">
        <v>53</v>
      </c>
      <c r="C60" s="22">
        <v>0</v>
      </c>
      <c r="D60" s="22">
        <f>D44</f>
        <v>0</v>
      </c>
      <c r="E60" s="22">
        <v>0</v>
      </c>
      <c r="F60" s="22">
        <v>0</v>
      </c>
      <c r="G60" s="27">
        <v>0</v>
      </c>
      <c r="H60" s="54">
        <v>0</v>
      </c>
      <c r="I60" s="54">
        <v>0</v>
      </c>
      <c r="J60" s="54">
        <v>0</v>
      </c>
      <c r="K60" s="54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77">
        <v>0</v>
      </c>
      <c r="S60" s="54">
        <v>0</v>
      </c>
    </row>
    <row r="61" spans="1:19" ht="26.25" customHeight="1">
      <c r="A61" s="41" t="s">
        <v>56</v>
      </c>
      <c r="B61" s="42" t="s">
        <v>57</v>
      </c>
      <c r="C61" s="116">
        <f>C62+C63+C64+C65</f>
        <v>1599714</v>
      </c>
      <c r="D61" s="116">
        <f aca="true" t="shared" si="39" ref="D61:S61">D62+D63+D64+D65</f>
        <v>6621470</v>
      </c>
      <c r="E61" s="116">
        <f t="shared" si="39"/>
        <v>2834670</v>
      </c>
      <c r="F61" s="116">
        <f t="shared" si="39"/>
        <v>2936670</v>
      </c>
      <c r="G61" s="116">
        <f t="shared" si="39"/>
        <v>2936670</v>
      </c>
      <c r="H61" s="116">
        <f t="shared" si="39"/>
        <v>2936670</v>
      </c>
      <c r="I61" s="116">
        <f t="shared" si="39"/>
        <v>2936670</v>
      </c>
      <c r="J61" s="116">
        <f t="shared" si="39"/>
        <v>2550470</v>
      </c>
      <c r="K61" s="116">
        <f t="shared" si="39"/>
        <v>2448470</v>
      </c>
      <c r="L61" s="116">
        <f t="shared" si="39"/>
        <v>2448470</v>
      </c>
      <c r="M61" s="116">
        <f t="shared" si="39"/>
        <v>2448470</v>
      </c>
      <c r="N61" s="116">
        <f t="shared" si="39"/>
        <v>1985520</v>
      </c>
      <c r="O61" s="116">
        <f t="shared" si="39"/>
        <v>1658520</v>
      </c>
      <c r="P61" s="116">
        <v>1658542</v>
      </c>
      <c r="Q61" s="116">
        <f t="shared" si="39"/>
        <v>0</v>
      </c>
      <c r="R61" s="116">
        <f t="shared" si="39"/>
        <v>0</v>
      </c>
      <c r="S61" s="116">
        <f t="shared" si="39"/>
        <v>0</v>
      </c>
    </row>
    <row r="62" spans="1:19" ht="14.25" customHeight="1">
      <c r="A62" s="136"/>
      <c r="B62" s="55" t="s">
        <v>58</v>
      </c>
      <c r="C62" s="22">
        <v>0</v>
      </c>
      <c r="D62" s="22">
        <v>0</v>
      </c>
      <c r="E62" s="22">
        <f>E7-E16</f>
        <v>2131630.1113249958</v>
      </c>
      <c r="F62" s="22">
        <v>2936670</v>
      </c>
      <c r="G62" s="121">
        <v>2936670</v>
      </c>
      <c r="H62" s="121">
        <f>+H7-H16</f>
        <v>2690437.753761828</v>
      </c>
      <c r="I62" s="121">
        <f>I7-I16</f>
        <v>2897395.2399695963</v>
      </c>
      <c r="J62" s="22">
        <v>2550470</v>
      </c>
      <c r="K62" s="121">
        <f>K7-K16</f>
        <v>2093883.7779942155</v>
      </c>
      <c r="L62" s="122">
        <f>+L7-L16</f>
        <v>2221006.175011426</v>
      </c>
      <c r="M62" s="122">
        <f>M7-M16</f>
        <v>2300784.9591937214</v>
      </c>
      <c r="N62" s="122">
        <v>1985520</v>
      </c>
      <c r="O62" s="122">
        <v>1658520</v>
      </c>
      <c r="P62" s="122">
        <v>1658542</v>
      </c>
      <c r="Q62" s="22">
        <v>0</v>
      </c>
      <c r="R62" s="22">
        <v>0</v>
      </c>
      <c r="S62" s="22">
        <v>0</v>
      </c>
    </row>
    <row r="63" spans="1:19" ht="12.75" customHeight="1">
      <c r="A63" s="137"/>
      <c r="B63" s="55" t="s">
        <v>59</v>
      </c>
      <c r="C63" s="22">
        <v>89714</v>
      </c>
      <c r="D63" s="22">
        <v>0</v>
      </c>
      <c r="E63" s="22">
        <f>E59-E62</f>
        <v>703039.8886750042</v>
      </c>
      <c r="F63" s="22">
        <v>0</v>
      </c>
      <c r="G63" s="27">
        <v>0</v>
      </c>
      <c r="H63" s="26">
        <f>H59-H62</f>
        <v>246232.24623817205</v>
      </c>
      <c r="I63" s="26">
        <f>I59-I62</f>
        <v>39274.76003040373</v>
      </c>
      <c r="J63" s="26">
        <f>J59-J62</f>
        <v>0</v>
      </c>
      <c r="K63" s="26">
        <f>K59-K62</f>
        <v>354586.2220057845</v>
      </c>
      <c r="L63" s="76">
        <f>L59-L62</f>
        <v>227463.8249885738</v>
      </c>
      <c r="M63" s="123">
        <f>+M59-M62</f>
        <v>147685.0408062786</v>
      </c>
      <c r="N63" s="123">
        <f>N59-N62</f>
        <v>0</v>
      </c>
      <c r="O63" s="123">
        <f>O59-O62</f>
        <v>0</v>
      </c>
      <c r="P63" s="123">
        <v>0</v>
      </c>
      <c r="Q63" s="3">
        <v>0</v>
      </c>
      <c r="R63" s="86">
        <v>0</v>
      </c>
      <c r="S63" s="86">
        <v>0</v>
      </c>
    </row>
    <row r="64" spans="1:19" ht="39" customHeight="1">
      <c r="A64" s="137"/>
      <c r="B64" s="44" t="s">
        <v>146</v>
      </c>
      <c r="C64" s="22">
        <v>1510000</v>
      </c>
      <c r="D64" s="121">
        <v>6621470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</row>
    <row r="65" spans="1:19" ht="29.25" customHeight="1">
      <c r="A65" s="138"/>
      <c r="B65" s="55" t="s">
        <v>60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</row>
    <row r="66" spans="1:19" ht="22.5" customHeight="1">
      <c r="A66" s="41" t="s">
        <v>61</v>
      </c>
      <c r="B66" s="42" t="s">
        <v>149</v>
      </c>
      <c r="C66" s="25"/>
      <c r="D66" s="25"/>
      <c r="E66" s="25"/>
      <c r="F66" s="25"/>
      <c r="G66" s="37"/>
      <c r="H66" s="53"/>
      <c r="I66" s="53"/>
      <c r="J66" s="53"/>
      <c r="K66" s="53"/>
      <c r="L66" s="31"/>
      <c r="M66" s="88"/>
      <c r="N66" s="88"/>
      <c r="O66" s="88"/>
      <c r="P66" s="89"/>
      <c r="Q66" s="88"/>
      <c r="R66" s="88"/>
      <c r="S66" s="88"/>
    </row>
    <row r="67" spans="1:19" ht="39" customHeight="1">
      <c r="A67" s="28" t="s">
        <v>106</v>
      </c>
      <c r="B67" s="44" t="s">
        <v>62</v>
      </c>
      <c r="C67" s="35">
        <f aca="true" t="shared" si="40" ref="C67:S67">C35/C7</f>
        <v>0.0356151014603836</v>
      </c>
      <c r="D67" s="35">
        <f t="shared" si="40"/>
        <v>0.08982194668816806</v>
      </c>
      <c r="E67" s="35">
        <f t="shared" si="40"/>
        <v>0.05085369043629139</v>
      </c>
      <c r="F67" s="35">
        <f t="shared" si="40"/>
        <v>0.049647893433795505</v>
      </c>
      <c r="G67" s="35">
        <f t="shared" si="40"/>
        <v>0.04774754637321249</v>
      </c>
      <c r="H67" s="35">
        <f t="shared" si="40"/>
        <v>0.045066248285206785</v>
      </c>
      <c r="I67" s="35">
        <f t="shared" si="40"/>
        <v>0.04238808307724728</v>
      </c>
      <c r="J67" s="35">
        <f t="shared" si="40"/>
        <v>0.0365576755536346</v>
      </c>
      <c r="K67" s="35">
        <f t="shared" si="40"/>
        <v>0.03385675668092746</v>
      </c>
      <c r="L67" s="78">
        <f t="shared" si="40"/>
        <v>0.03282282020517337</v>
      </c>
      <c r="M67" s="78">
        <f t="shared" si="40"/>
        <v>0.03125285606312957</v>
      </c>
      <c r="N67" s="78">
        <f t="shared" si="40"/>
        <v>0.025351752263887962</v>
      </c>
      <c r="O67" s="78">
        <f t="shared" si="40"/>
        <v>0.021151557541591204</v>
      </c>
      <c r="P67" s="78">
        <f t="shared" si="40"/>
        <v>0.02001025533124243</v>
      </c>
      <c r="Q67" s="78">
        <f t="shared" si="40"/>
        <v>0.003974522705931495</v>
      </c>
      <c r="R67" s="78">
        <f t="shared" si="40"/>
        <v>0.003912606051819102</v>
      </c>
      <c r="S67" s="35">
        <f t="shared" si="40"/>
        <v>0.003908869328568079</v>
      </c>
    </row>
    <row r="68" spans="1:19" ht="49.5" customHeight="1">
      <c r="A68" s="28"/>
      <c r="B68" s="44" t="s">
        <v>63</v>
      </c>
      <c r="C68" s="35">
        <f aca="true" t="shared" si="41" ref="C68:S68">(C35-C38-C60)/C7</f>
        <v>0.0356151014603836</v>
      </c>
      <c r="D68" s="35">
        <f t="shared" si="41"/>
        <v>0.08982194668816806</v>
      </c>
      <c r="E68" s="35">
        <f t="shared" si="41"/>
        <v>0.05085369043629139</v>
      </c>
      <c r="F68" s="35">
        <f t="shared" si="41"/>
        <v>0.049647893433795505</v>
      </c>
      <c r="G68" s="35">
        <f t="shared" si="41"/>
        <v>0.04774754637321249</v>
      </c>
      <c r="H68" s="35">
        <f t="shared" si="41"/>
        <v>0.045066248285206785</v>
      </c>
      <c r="I68" s="35">
        <f t="shared" si="41"/>
        <v>0.04238808307724728</v>
      </c>
      <c r="J68" s="35">
        <f t="shared" si="41"/>
        <v>0.0365576755536346</v>
      </c>
      <c r="K68" s="35">
        <f t="shared" si="41"/>
        <v>0.03385675668092746</v>
      </c>
      <c r="L68" s="35">
        <f t="shared" si="41"/>
        <v>0.03282282020517337</v>
      </c>
      <c r="M68" s="35">
        <f t="shared" si="41"/>
        <v>0.03125285606312957</v>
      </c>
      <c r="N68" s="35">
        <f t="shared" si="41"/>
        <v>0.025351752263887962</v>
      </c>
      <c r="O68" s="35">
        <f t="shared" si="41"/>
        <v>0.021151557541591204</v>
      </c>
      <c r="P68" s="35">
        <f t="shared" si="41"/>
        <v>0.02001025533124243</v>
      </c>
      <c r="Q68" s="35">
        <f t="shared" si="41"/>
        <v>0.003974522705931495</v>
      </c>
      <c r="R68" s="35">
        <f t="shared" si="41"/>
        <v>0.003912606051819102</v>
      </c>
      <c r="S68" s="35">
        <f t="shared" si="41"/>
        <v>0.003908869328568079</v>
      </c>
    </row>
    <row r="69" spans="1:19" ht="37.5" customHeight="1">
      <c r="A69" s="28" t="s">
        <v>107</v>
      </c>
      <c r="B69" s="44" t="s">
        <v>64</v>
      </c>
      <c r="C69" s="35">
        <f aca="true" t="shared" si="42" ref="C69:S69">C57/C7</f>
        <v>0.32857424366027715</v>
      </c>
      <c r="D69" s="35">
        <f t="shared" si="42"/>
        <v>0.29531170240901095</v>
      </c>
      <c r="E69" s="35">
        <f t="shared" si="42"/>
        <v>0.28651342500509946</v>
      </c>
      <c r="F69" s="35">
        <f t="shared" si="42"/>
        <v>0.25212653756933406</v>
      </c>
      <c r="G69" s="35">
        <f t="shared" si="42"/>
        <v>0.22027356962003694</v>
      </c>
      <c r="H69" s="35">
        <f t="shared" si="42"/>
        <v>0.18540198626843254</v>
      </c>
      <c r="I69" s="35">
        <f t="shared" si="42"/>
        <v>0.15109970063145348</v>
      </c>
      <c r="J69" s="35">
        <f t="shared" si="42"/>
        <v>0.12421477779209619</v>
      </c>
      <c r="K69" s="35">
        <f t="shared" si="42"/>
        <v>0.09890043435876945</v>
      </c>
      <c r="L69" s="78">
        <f t="shared" si="42"/>
        <v>0.07565487641268882</v>
      </c>
      <c r="M69" s="78">
        <f t="shared" si="42"/>
        <v>0.05111190094757686</v>
      </c>
      <c r="N69" s="78">
        <f t="shared" si="42"/>
        <v>0.031643859106291805</v>
      </c>
      <c r="O69" s="78">
        <f t="shared" si="42"/>
        <v>0.015619537251289655</v>
      </c>
      <c r="P69" s="78">
        <f t="shared" si="42"/>
        <v>0</v>
      </c>
      <c r="Q69" s="78">
        <f t="shared" si="42"/>
        <v>0</v>
      </c>
      <c r="R69" s="78">
        <f t="shared" si="42"/>
        <v>0</v>
      </c>
      <c r="S69" s="35">
        <f t="shared" si="42"/>
        <v>0</v>
      </c>
    </row>
    <row r="70" spans="1:19" ht="49.5" customHeight="1">
      <c r="A70" s="28"/>
      <c r="B70" s="44" t="s">
        <v>65</v>
      </c>
      <c r="C70" s="35">
        <f aca="true" t="shared" si="43" ref="C70:S70">(C57-C58)/C7</f>
        <v>0.32857424366027715</v>
      </c>
      <c r="D70" s="35">
        <f t="shared" si="43"/>
        <v>0.29531170240901095</v>
      </c>
      <c r="E70" s="35">
        <f t="shared" si="43"/>
        <v>0.28651342500509946</v>
      </c>
      <c r="F70" s="35">
        <f t="shared" si="43"/>
        <v>0.25212653756933406</v>
      </c>
      <c r="G70" s="35">
        <f t="shared" si="43"/>
        <v>0.22027356962003694</v>
      </c>
      <c r="H70" s="35">
        <f t="shared" si="43"/>
        <v>0.18540198626843254</v>
      </c>
      <c r="I70" s="35">
        <f t="shared" si="43"/>
        <v>0.15109970063145348</v>
      </c>
      <c r="J70" s="35">
        <f t="shared" si="43"/>
        <v>0.12421477779209619</v>
      </c>
      <c r="K70" s="35">
        <f t="shared" si="43"/>
        <v>0.09890043435876945</v>
      </c>
      <c r="L70" s="78">
        <f t="shared" si="43"/>
        <v>0.07565487641268882</v>
      </c>
      <c r="M70" s="78">
        <f t="shared" si="43"/>
        <v>0.05111190094757686</v>
      </c>
      <c r="N70" s="78">
        <f t="shared" si="43"/>
        <v>0.031643859106291805</v>
      </c>
      <c r="O70" s="78">
        <f t="shared" si="43"/>
        <v>0.015619537251289655</v>
      </c>
      <c r="P70" s="78">
        <f t="shared" si="43"/>
        <v>0</v>
      </c>
      <c r="Q70" s="78">
        <f t="shared" si="43"/>
        <v>0</v>
      </c>
      <c r="R70" s="78">
        <f t="shared" si="43"/>
        <v>0</v>
      </c>
      <c r="S70" s="35">
        <f t="shared" si="43"/>
        <v>0</v>
      </c>
    </row>
    <row r="71" spans="1:19" ht="38.25" customHeight="1">
      <c r="A71" s="28" t="s">
        <v>108</v>
      </c>
      <c r="B71" s="44" t="s">
        <v>88</v>
      </c>
      <c r="C71" s="35">
        <f aca="true" t="shared" si="44" ref="C71:S71">(C8+C13-C20-C36)/C7</f>
        <v>0.04500404869750311</v>
      </c>
      <c r="D71" s="35">
        <f t="shared" si="44"/>
        <v>0.03171915994690597</v>
      </c>
      <c r="E71" s="35">
        <f t="shared" si="44"/>
        <v>0.08083343925135361</v>
      </c>
      <c r="F71" s="35">
        <f t="shared" si="44"/>
        <v>0.08907979385185526</v>
      </c>
      <c r="G71" s="35">
        <f t="shared" si="44"/>
        <v>0.08328090548708719</v>
      </c>
      <c r="H71" s="35">
        <f t="shared" si="44"/>
        <v>0.09360288522816788</v>
      </c>
      <c r="I71" s="35">
        <f t="shared" si="44"/>
        <v>0.1079949471529455</v>
      </c>
      <c r="J71" s="35">
        <f t="shared" si="44"/>
        <v>0.10738880390734365</v>
      </c>
      <c r="K71" s="35">
        <f t="shared" si="44"/>
        <v>0.10723666536701423</v>
      </c>
      <c r="L71" s="78">
        <f t="shared" si="44"/>
        <v>0.0896642693325759</v>
      </c>
      <c r="M71" s="78">
        <f t="shared" si="44"/>
        <v>0.08931679300112394</v>
      </c>
      <c r="N71" s="78">
        <f t="shared" si="44"/>
        <v>0.08698914242653245</v>
      </c>
      <c r="O71" s="78">
        <f t="shared" si="44"/>
        <v>0.08696125795792874</v>
      </c>
      <c r="P71" s="78">
        <f t="shared" si="44"/>
        <v>0.08952669480119058</v>
      </c>
      <c r="Q71" s="78">
        <f t="shared" si="44"/>
        <v>0.0935126044331793</v>
      </c>
      <c r="R71" s="78">
        <f t="shared" si="44"/>
        <v>0.0960375017642854</v>
      </c>
      <c r="S71" s="35">
        <f t="shared" si="44"/>
        <v>0.08516457625724783</v>
      </c>
    </row>
    <row r="72" spans="1:19" ht="71.25" customHeight="1">
      <c r="A72" s="28" t="s">
        <v>109</v>
      </c>
      <c r="B72" s="44" t="s">
        <v>86</v>
      </c>
      <c r="C72" s="35">
        <v>0</v>
      </c>
      <c r="D72" s="35">
        <v>0</v>
      </c>
      <c r="E72" s="35">
        <v>0</v>
      </c>
      <c r="F72" s="62">
        <f aca="true" t="shared" si="45" ref="F72:L72">(C71+D71+E71)/3</f>
        <v>0.05251888263192089</v>
      </c>
      <c r="G72" s="62">
        <f t="shared" si="45"/>
        <v>0.06721079768337161</v>
      </c>
      <c r="H72" s="62">
        <f t="shared" si="45"/>
        <v>0.08439804619676534</v>
      </c>
      <c r="I72" s="62">
        <f t="shared" si="45"/>
        <v>0.08865452818903678</v>
      </c>
      <c r="J72" s="62">
        <f t="shared" si="45"/>
        <v>0.09495957928940019</v>
      </c>
      <c r="K72" s="62">
        <f t="shared" si="45"/>
        <v>0.10299554542948568</v>
      </c>
      <c r="L72" s="79">
        <f t="shared" si="45"/>
        <v>0.10754013880910113</v>
      </c>
      <c r="M72" s="79">
        <f aca="true" t="shared" si="46" ref="M72:S72">(J71+K71+L71)/3</f>
        <v>0.10142991286897791</v>
      </c>
      <c r="N72" s="79">
        <f t="shared" si="46"/>
        <v>0.09540590923357135</v>
      </c>
      <c r="O72" s="79">
        <f t="shared" si="46"/>
        <v>0.08865673492007743</v>
      </c>
      <c r="P72" s="79">
        <f t="shared" si="46"/>
        <v>0.08775573112852837</v>
      </c>
      <c r="Q72" s="79">
        <f t="shared" si="46"/>
        <v>0.08782569839521726</v>
      </c>
      <c r="R72" s="79">
        <f t="shared" si="46"/>
        <v>0.09000018573076622</v>
      </c>
      <c r="S72" s="62">
        <f t="shared" si="46"/>
        <v>0.0930256003328851</v>
      </c>
    </row>
    <row r="73" spans="1:19" ht="52.5" customHeight="1">
      <c r="A73" s="28" t="s">
        <v>110</v>
      </c>
      <c r="B73" s="44" t="s">
        <v>87</v>
      </c>
      <c r="C73" s="35">
        <f aca="true" t="shared" si="47" ref="C73:S73">C35/C7</f>
        <v>0.0356151014603836</v>
      </c>
      <c r="D73" s="35">
        <f t="shared" si="47"/>
        <v>0.08982194668816806</v>
      </c>
      <c r="E73" s="35">
        <f t="shared" si="47"/>
        <v>0.05085369043629139</v>
      </c>
      <c r="F73" s="35">
        <f t="shared" si="47"/>
        <v>0.049647893433795505</v>
      </c>
      <c r="G73" s="35">
        <f t="shared" si="47"/>
        <v>0.04774754637321249</v>
      </c>
      <c r="H73" s="35">
        <f t="shared" si="47"/>
        <v>0.045066248285206785</v>
      </c>
      <c r="I73" s="35">
        <f t="shared" si="47"/>
        <v>0.04238808307724728</v>
      </c>
      <c r="J73" s="35">
        <f t="shared" si="47"/>
        <v>0.0365576755536346</v>
      </c>
      <c r="K73" s="35">
        <f t="shared" si="47"/>
        <v>0.03385675668092746</v>
      </c>
      <c r="L73" s="78">
        <f t="shared" si="47"/>
        <v>0.03282282020517337</v>
      </c>
      <c r="M73" s="78">
        <f t="shared" si="47"/>
        <v>0.03125285606312957</v>
      </c>
      <c r="N73" s="78">
        <f t="shared" si="47"/>
        <v>0.025351752263887962</v>
      </c>
      <c r="O73" s="78">
        <f t="shared" si="47"/>
        <v>0.021151557541591204</v>
      </c>
      <c r="P73" s="78">
        <f t="shared" si="47"/>
        <v>0.02001025533124243</v>
      </c>
      <c r="Q73" s="78">
        <f t="shared" si="47"/>
        <v>0.003974522705931495</v>
      </c>
      <c r="R73" s="78">
        <f t="shared" si="47"/>
        <v>0.003912606051819102</v>
      </c>
      <c r="S73" s="35">
        <f t="shared" si="47"/>
        <v>0.003908869328568079</v>
      </c>
    </row>
    <row r="74" spans="1:19" ht="51" customHeight="1">
      <c r="A74" s="28"/>
      <c r="B74" s="44" t="s">
        <v>66</v>
      </c>
      <c r="C74" s="62">
        <f aca="true" t="shared" si="48" ref="C74:S74">(C43-C44+C36)/C7</f>
        <v>0.0356151014603836</v>
      </c>
      <c r="D74" s="62">
        <f t="shared" si="48"/>
        <v>0.08982194668816806</v>
      </c>
      <c r="E74" s="62">
        <f t="shared" si="48"/>
        <v>0.05085369043629139</v>
      </c>
      <c r="F74" s="62">
        <f t="shared" si="48"/>
        <v>0.049647893433795505</v>
      </c>
      <c r="G74" s="62">
        <f t="shared" si="48"/>
        <v>0.04774754637321249</v>
      </c>
      <c r="H74" s="62">
        <f t="shared" si="48"/>
        <v>0.045066248285206785</v>
      </c>
      <c r="I74" s="62">
        <f t="shared" si="48"/>
        <v>0.04238808307724728</v>
      </c>
      <c r="J74" s="62">
        <f t="shared" si="48"/>
        <v>0.0365576755536346</v>
      </c>
      <c r="K74" s="62">
        <f t="shared" si="48"/>
        <v>0.03385675668092746</v>
      </c>
      <c r="L74" s="79">
        <f t="shared" si="48"/>
        <v>0.03282282020517337</v>
      </c>
      <c r="M74" s="79">
        <f t="shared" si="48"/>
        <v>0.03125285606312957</v>
      </c>
      <c r="N74" s="79">
        <f t="shared" si="48"/>
        <v>0.025351752263887962</v>
      </c>
      <c r="O74" s="79">
        <f t="shared" si="48"/>
        <v>0.021151557541591204</v>
      </c>
      <c r="P74" s="79">
        <f t="shared" si="48"/>
        <v>0.02001025533124243</v>
      </c>
      <c r="Q74" s="79">
        <f t="shared" si="48"/>
        <v>0.003974522705931495</v>
      </c>
      <c r="R74" s="79">
        <f t="shared" si="48"/>
        <v>0.003912606051819102</v>
      </c>
      <c r="S74" s="62">
        <f t="shared" si="48"/>
        <v>0.003908869328568079</v>
      </c>
    </row>
    <row r="75" spans="1:19" ht="43.5" customHeight="1">
      <c r="A75" s="28"/>
      <c r="B75" s="44" t="s">
        <v>85</v>
      </c>
      <c r="C75" s="22"/>
      <c r="D75" s="22"/>
      <c r="E75" s="22"/>
      <c r="F75" s="124" t="s">
        <v>147</v>
      </c>
      <c r="G75" s="124" t="s">
        <v>147</v>
      </c>
      <c r="H75" s="124" t="s">
        <v>147</v>
      </c>
      <c r="I75" s="124" t="s">
        <v>147</v>
      </c>
      <c r="J75" s="124" t="s">
        <v>147</v>
      </c>
      <c r="K75" s="124" t="s">
        <v>147</v>
      </c>
      <c r="L75" s="124" t="s">
        <v>147</v>
      </c>
      <c r="M75" s="124" t="s">
        <v>147</v>
      </c>
      <c r="N75" s="124" t="s">
        <v>147</v>
      </c>
      <c r="O75" s="124" t="s">
        <v>147</v>
      </c>
      <c r="P75" s="124" t="s">
        <v>147</v>
      </c>
      <c r="Q75" s="124" t="s">
        <v>147</v>
      </c>
      <c r="R75" s="124" t="s">
        <v>147</v>
      </c>
      <c r="S75" s="124" t="s">
        <v>147</v>
      </c>
    </row>
    <row r="76" spans="1:19" ht="43.5" customHeight="1">
      <c r="A76" s="131"/>
      <c r="B76" s="56"/>
      <c r="C76" s="29"/>
      <c r="D76" s="29"/>
      <c r="E76" s="29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</row>
    <row r="77" spans="1:19" s="30" customFormat="1" ht="27.75" customHeight="1">
      <c r="A77" s="164" t="s">
        <v>70</v>
      </c>
      <c r="B77" s="165" t="s">
        <v>90</v>
      </c>
      <c r="C77" s="167">
        <v>2011</v>
      </c>
      <c r="D77" s="139" t="s">
        <v>71</v>
      </c>
      <c r="E77" s="139"/>
      <c r="F77" s="139"/>
      <c r="G77" s="139"/>
      <c r="H77" s="139"/>
      <c r="I77" s="139"/>
      <c r="J77" s="139"/>
      <c r="K77" s="139"/>
      <c r="L77" s="140"/>
      <c r="M77" s="132"/>
      <c r="N77" s="132"/>
      <c r="O77" s="132"/>
      <c r="P77" s="133"/>
      <c r="Q77" s="134"/>
      <c r="R77" s="134"/>
      <c r="S77" s="134"/>
    </row>
    <row r="78" spans="1:19" s="30" customFormat="1" ht="18.75" customHeight="1">
      <c r="A78" s="164"/>
      <c r="B78" s="166"/>
      <c r="C78" s="139"/>
      <c r="D78" s="58">
        <v>2012</v>
      </c>
      <c r="E78" s="58">
        <v>2013</v>
      </c>
      <c r="F78" s="58">
        <v>2014</v>
      </c>
      <c r="G78" s="58">
        <v>2015</v>
      </c>
      <c r="H78" s="58">
        <v>2016</v>
      </c>
      <c r="I78" s="58">
        <v>2017</v>
      </c>
      <c r="J78" s="58">
        <v>2018</v>
      </c>
      <c r="K78" s="58">
        <v>2019</v>
      </c>
      <c r="L78" s="80">
        <v>2020</v>
      </c>
      <c r="M78" s="95">
        <v>2021</v>
      </c>
      <c r="N78" s="95">
        <v>2022</v>
      </c>
      <c r="O78" s="95">
        <v>2023</v>
      </c>
      <c r="P78" s="96">
        <v>2024</v>
      </c>
      <c r="Q78" s="95">
        <v>2025</v>
      </c>
      <c r="R78" s="95">
        <v>2026</v>
      </c>
      <c r="S78" s="95">
        <v>2027</v>
      </c>
    </row>
    <row r="79" spans="1:19" s="59" customFormat="1" ht="14.25" customHeight="1">
      <c r="A79" s="45" t="s">
        <v>120</v>
      </c>
      <c r="B79" s="130" t="s">
        <v>121</v>
      </c>
      <c r="C79" s="60" t="s">
        <v>122</v>
      </c>
      <c r="D79" s="60" t="s">
        <v>72</v>
      </c>
      <c r="E79" s="60" t="s">
        <v>73</v>
      </c>
      <c r="F79" s="60" t="s">
        <v>74</v>
      </c>
      <c r="G79" s="60" t="s">
        <v>75</v>
      </c>
      <c r="H79" s="61" t="s">
        <v>76</v>
      </c>
      <c r="I79" s="61" t="s">
        <v>42</v>
      </c>
      <c r="J79" s="61" t="s">
        <v>77</v>
      </c>
      <c r="K79" s="61" t="s">
        <v>78</v>
      </c>
      <c r="L79" s="81" t="s">
        <v>79</v>
      </c>
      <c r="M79" s="90">
        <v>13</v>
      </c>
      <c r="N79" s="90">
        <v>14</v>
      </c>
      <c r="O79" s="90">
        <v>15</v>
      </c>
      <c r="P79" s="91">
        <v>16</v>
      </c>
      <c r="Q79" s="90">
        <v>17</v>
      </c>
      <c r="R79" s="90">
        <v>18</v>
      </c>
      <c r="S79" s="90">
        <v>19</v>
      </c>
    </row>
    <row r="80" spans="1:19" ht="21.75" customHeight="1">
      <c r="A80" s="28" t="s">
        <v>93</v>
      </c>
      <c r="B80" s="128" t="s">
        <v>67</v>
      </c>
      <c r="C80" s="22">
        <f>C7</f>
        <v>99281312</v>
      </c>
      <c r="D80" s="22">
        <f aca="true" t="shared" si="49" ref="D80:S80">D7</f>
        <v>99114974.99499999</v>
      </c>
      <c r="E80" s="22">
        <f t="shared" si="49"/>
        <v>94044954.436325</v>
      </c>
      <c r="F80" s="22">
        <f t="shared" si="49"/>
        <v>95223899.20338212</v>
      </c>
      <c r="G80" s="22">
        <f t="shared" si="49"/>
        <v>95661962.69642341</v>
      </c>
      <c r="H80" s="22">
        <f t="shared" si="49"/>
        <v>97815198.01920146</v>
      </c>
      <c r="I80" s="22">
        <f t="shared" si="49"/>
        <v>100585652.6285945</v>
      </c>
      <c r="J80" s="22">
        <f t="shared" si="49"/>
        <v>101823569.02146947</v>
      </c>
      <c r="K80" s="22">
        <f t="shared" si="49"/>
        <v>103129193.17422202</v>
      </c>
      <c r="L80" s="27">
        <f t="shared" si="49"/>
        <v>102452774.59339018</v>
      </c>
      <c r="M80" s="27">
        <f t="shared" si="49"/>
        <v>103744566.3670114</v>
      </c>
      <c r="N80" s="27">
        <f t="shared" si="49"/>
        <v>104824825.21673416</v>
      </c>
      <c r="O80" s="27">
        <f t="shared" si="49"/>
        <v>106183811.55069491</v>
      </c>
      <c r="P80" s="27">
        <f t="shared" si="49"/>
        <v>107866789.51717219</v>
      </c>
      <c r="Q80" s="27">
        <f t="shared" si="49"/>
        <v>109749027.05902879</v>
      </c>
      <c r="R80" s="27">
        <f t="shared" si="49"/>
        <v>111485795.96895425</v>
      </c>
      <c r="S80" s="22">
        <f t="shared" si="49"/>
        <v>111592371.94551896</v>
      </c>
    </row>
    <row r="81" spans="1:19" ht="22.5" customHeight="1">
      <c r="A81" s="28" t="s">
        <v>94</v>
      </c>
      <c r="B81" s="128" t="s">
        <v>112</v>
      </c>
      <c r="C81" s="22">
        <f>C16</f>
        <v>104653214</v>
      </c>
      <c r="D81" s="22">
        <f aca="true" t="shared" si="50" ref="D81:S81">D16</f>
        <v>104639068.25</v>
      </c>
      <c r="E81" s="22">
        <f t="shared" si="50"/>
        <v>91913324.325</v>
      </c>
      <c r="F81" s="22">
        <f t="shared" si="50"/>
        <v>92206720.892575</v>
      </c>
      <c r="G81" s="22">
        <f t="shared" si="50"/>
        <v>92395494.82239331</v>
      </c>
      <c r="H81" s="22">
        <f t="shared" si="50"/>
        <v>95124760.26543963</v>
      </c>
      <c r="I81" s="22">
        <f t="shared" si="50"/>
        <v>97688257.3886249</v>
      </c>
      <c r="J81" s="22">
        <f t="shared" si="50"/>
        <v>98854204.73467702</v>
      </c>
      <c r="K81" s="22">
        <f t="shared" si="50"/>
        <v>101035309.3962278</v>
      </c>
      <c r="L81" s="27">
        <f t="shared" si="50"/>
        <v>100231768.41837876</v>
      </c>
      <c r="M81" s="27">
        <f t="shared" si="50"/>
        <v>101443781.40781768</v>
      </c>
      <c r="N81" s="27">
        <f t="shared" si="50"/>
        <v>102671550.5661193</v>
      </c>
      <c r="O81" s="27">
        <f t="shared" si="50"/>
        <v>104415280.72347884</v>
      </c>
      <c r="P81" s="27">
        <f t="shared" si="50"/>
        <v>106175179.37288405</v>
      </c>
      <c r="Q81" s="27">
        <f t="shared" si="50"/>
        <v>109451456.70473154</v>
      </c>
      <c r="R81" s="27">
        <f t="shared" si="50"/>
        <v>111744325.64189304</v>
      </c>
      <c r="S81" s="22">
        <f t="shared" si="50"/>
        <v>111554001.87523764</v>
      </c>
    </row>
    <row r="82" spans="1:19" ht="21.75" customHeight="1">
      <c r="A82" s="57" t="s">
        <v>111</v>
      </c>
      <c r="B82" s="129" t="s">
        <v>68</v>
      </c>
      <c r="C82" s="36">
        <f>C80-C81</f>
        <v>-5371902</v>
      </c>
      <c r="D82" s="36">
        <f aca="true" t="shared" si="51" ref="D82:S82">D80-D81</f>
        <v>-5524093.25500001</v>
      </c>
      <c r="E82" s="36">
        <f t="shared" si="51"/>
        <v>2131630.1113249958</v>
      </c>
      <c r="F82" s="36">
        <f t="shared" si="51"/>
        <v>3017178.310807124</v>
      </c>
      <c r="G82" s="36">
        <f t="shared" si="51"/>
        <v>3266467.8740300983</v>
      </c>
      <c r="H82" s="36">
        <f t="shared" si="51"/>
        <v>2690437.753761828</v>
      </c>
      <c r="I82" s="36">
        <f t="shared" si="51"/>
        <v>2897395.2399695963</v>
      </c>
      <c r="J82" s="36">
        <f t="shared" si="51"/>
        <v>2969364.286792457</v>
      </c>
      <c r="K82" s="36">
        <f t="shared" si="51"/>
        <v>2093883.7779942155</v>
      </c>
      <c r="L82" s="82">
        <f t="shared" si="51"/>
        <v>2221006.175011426</v>
      </c>
      <c r="M82" s="82">
        <f t="shared" si="51"/>
        <v>2300784.9591937214</v>
      </c>
      <c r="N82" s="82">
        <f t="shared" si="51"/>
        <v>2153274.6506148577</v>
      </c>
      <c r="O82" s="82">
        <f t="shared" si="51"/>
        <v>1768530.8272160739</v>
      </c>
      <c r="P82" s="82">
        <f t="shared" si="51"/>
        <v>1691610.1442881376</v>
      </c>
      <c r="Q82" s="82">
        <f t="shared" si="51"/>
        <v>297570.3542972505</v>
      </c>
      <c r="R82" s="82">
        <f t="shared" si="51"/>
        <v>-258529.6729387939</v>
      </c>
      <c r="S82" s="36">
        <f t="shared" si="51"/>
        <v>38370.07028131187</v>
      </c>
    </row>
    <row r="83" spans="1:19" ht="23.25" customHeight="1">
      <c r="A83" s="28" t="s">
        <v>116</v>
      </c>
      <c r="B83" s="128" t="s">
        <v>69</v>
      </c>
      <c r="C83" s="22">
        <f>C30+C54</f>
        <v>6971616</v>
      </c>
      <c r="D83" s="22">
        <f aca="true" t="shared" si="52" ref="D83:S83">D30+D54</f>
        <v>12970000</v>
      </c>
      <c r="E83" s="22">
        <f t="shared" si="52"/>
        <v>1334436.7449999899</v>
      </c>
      <c r="F83" s="22">
        <f t="shared" si="52"/>
        <v>631396.8563249856</v>
      </c>
      <c r="G83" s="22">
        <f t="shared" si="52"/>
        <v>711905.1671321094</v>
      </c>
      <c r="H83" s="22">
        <f t="shared" si="52"/>
        <v>1041703.0411622077</v>
      </c>
      <c r="I83" s="22">
        <f t="shared" si="52"/>
        <v>795470.7949240357</v>
      </c>
      <c r="J83" s="22">
        <f t="shared" si="52"/>
        <v>756196.0348936319</v>
      </c>
      <c r="K83" s="22">
        <f t="shared" si="52"/>
        <v>1175090.321686089</v>
      </c>
      <c r="L83" s="27">
        <f t="shared" si="52"/>
        <v>820504.0996803045</v>
      </c>
      <c r="M83" s="27">
        <f t="shared" si="52"/>
        <v>593040.2746917307</v>
      </c>
      <c r="N83" s="27">
        <f t="shared" si="52"/>
        <v>445355.23388545215</v>
      </c>
      <c r="O83" s="27">
        <f t="shared" si="52"/>
        <v>613109.8845003098</v>
      </c>
      <c r="P83" s="27">
        <f t="shared" si="52"/>
        <v>723120.7117163837</v>
      </c>
      <c r="Q83" s="27">
        <f t="shared" si="52"/>
        <v>756188.8560045213</v>
      </c>
      <c r="R83" s="27">
        <f t="shared" si="52"/>
        <v>1053759.2103017718</v>
      </c>
      <c r="S83" s="22">
        <f t="shared" si="52"/>
        <v>795229.5373629779</v>
      </c>
    </row>
    <row r="84" spans="1:19" ht="21.75" customHeight="1">
      <c r="A84" s="28" t="s">
        <v>117</v>
      </c>
      <c r="B84" s="128" t="s">
        <v>125</v>
      </c>
      <c r="C84" s="22">
        <f>C43</f>
        <v>1599714</v>
      </c>
      <c r="D84" s="22">
        <f aca="true" t="shared" si="53" ref="D84:S84">D43</f>
        <v>6621470</v>
      </c>
      <c r="E84" s="22">
        <f t="shared" si="53"/>
        <v>2834670</v>
      </c>
      <c r="F84" s="22">
        <f t="shared" si="53"/>
        <v>2936670</v>
      </c>
      <c r="G84" s="22">
        <f t="shared" si="53"/>
        <v>2936670</v>
      </c>
      <c r="H84" s="22">
        <f t="shared" si="53"/>
        <v>2936670</v>
      </c>
      <c r="I84" s="22">
        <f t="shared" si="53"/>
        <v>2936670</v>
      </c>
      <c r="J84" s="22">
        <f t="shared" si="53"/>
        <v>2550470</v>
      </c>
      <c r="K84" s="22">
        <f t="shared" si="53"/>
        <v>2448470</v>
      </c>
      <c r="L84" s="27">
        <f t="shared" si="53"/>
        <v>2448470</v>
      </c>
      <c r="M84" s="27">
        <f t="shared" si="53"/>
        <v>2448470</v>
      </c>
      <c r="N84" s="27">
        <f t="shared" si="53"/>
        <v>1985520</v>
      </c>
      <c r="O84" s="27">
        <f t="shared" si="53"/>
        <v>1658520</v>
      </c>
      <c r="P84" s="27">
        <f t="shared" si="53"/>
        <v>1658542</v>
      </c>
      <c r="Q84" s="27">
        <f t="shared" si="53"/>
        <v>0</v>
      </c>
      <c r="R84" s="27">
        <f t="shared" si="53"/>
        <v>0</v>
      </c>
      <c r="S84" s="22">
        <f t="shared" si="53"/>
        <v>0</v>
      </c>
    </row>
    <row r="85" spans="1:19" ht="27.75" customHeight="1" thickBot="1">
      <c r="A85" s="63" t="s">
        <v>119</v>
      </c>
      <c r="B85" s="127" t="s">
        <v>7</v>
      </c>
      <c r="C85" s="64">
        <f>C83-C84</f>
        <v>5371902</v>
      </c>
      <c r="D85" s="64">
        <f aca="true" t="shared" si="54" ref="D85:S85">D83-D84</f>
        <v>6348530</v>
      </c>
      <c r="E85" s="64">
        <f t="shared" si="54"/>
        <v>-1500233.2550000101</v>
      </c>
      <c r="F85" s="64">
        <f t="shared" si="54"/>
        <v>-2305273.1436750144</v>
      </c>
      <c r="G85" s="64">
        <f t="shared" si="54"/>
        <v>-2224764.8328678906</v>
      </c>
      <c r="H85" s="64">
        <f t="shared" si="54"/>
        <v>-1894966.9588377923</v>
      </c>
      <c r="I85" s="64">
        <f t="shared" si="54"/>
        <v>-2141199.2050759643</v>
      </c>
      <c r="J85" s="64">
        <f t="shared" si="54"/>
        <v>-1794273.965106368</v>
      </c>
      <c r="K85" s="64">
        <f t="shared" si="54"/>
        <v>-1273379.678313911</v>
      </c>
      <c r="L85" s="83">
        <f t="shared" si="54"/>
        <v>-1627965.9003196955</v>
      </c>
      <c r="M85" s="83">
        <f t="shared" si="54"/>
        <v>-1855429.7253082693</v>
      </c>
      <c r="N85" s="83">
        <f t="shared" si="54"/>
        <v>-1540164.7661145478</v>
      </c>
      <c r="O85" s="83">
        <f t="shared" si="54"/>
        <v>-1045410.1154996902</v>
      </c>
      <c r="P85" s="83">
        <f t="shared" si="54"/>
        <v>-935421.2882836163</v>
      </c>
      <c r="Q85" s="83">
        <f t="shared" si="54"/>
        <v>756188.8560045213</v>
      </c>
      <c r="R85" s="83">
        <f t="shared" si="54"/>
        <v>1053759.2103017718</v>
      </c>
      <c r="S85" s="64">
        <f t="shared" si="54"/>
        <v>795229.5373629779</v>
      </c>
    </row>
    <row r="86" spans="1:19" ht="26.25" customHeight="1" thickBot="1">
      <c r="A86" s="65"/>
      <c r="B86" s="67" t="s">
        <v>89</v>
      </c>
      <c r="C86" s="66">
        <f>C82+C85</f>
        <v>0</v>
      </c>
      <c r="D86" s="66">
        <f aca="true" t="shared" si="55" ref="D86:S86">D82+D85</f>
        <v>824436.7449999899</v>
      </c>
      <c r="E86" s="66">
        <f t="shared" si="55"/>
        <v>631396.8563249856</v>
      </c>
      <c r="F86" s="66">
        <f t="shared" si="55"/>
        <v>711905.1671321094</v>
      </c>
      <c r="G86" s="66">
        <f t="shared" si="55"/>
        <v>1041703.0411622077</v>
      </c>
      <c r="H86" s="66">
        <f t="shared" si="55"/>
        <v>795470.7949240357</v>
      </c>
      <c r="I86" s="66">
        <f t="shared" si="55"/>
        <v>756196.0348936319</v>
      </c>
      <c r="J86" s="66">
        <f t="shared" si="55"/>
        <v>1175090.321686089</v>
      </c>
      <c r="K86" s="66">
        <f t="shared" si="55"/>
        <v>820504.0996803045</v>
      </c>
      <c r="L86" s="84">
        <f t="shared" si="55"/>
        <v>593040.2746917307</v>
      </c>
      <c r="M86" s="84">
        <f t="shared" si="55"/>
        <v>445355.23388545215</v>
      </c>
      <c r="N86" s="84">
        <f t="shared" si="55"/>
        <v>613109.8845003098</v>
      </c>
      <c r="O86" s="84">
        <f t="shared" si="55"/>
        <v>723120.7117163837</v>
      </c>
      <c r="P86" s="84">
        <f t="shared" si="55"/>
        <v>756188.8560045213</v>
      </c>
      <c r="Q86" s="84">
        <f t="shared" si="55"/>
        <v>1053759.2103017718</v>
      </c>
      <c r="R86" s="84">
        <f t="shared" si="55"/>
        <v>795229.5373629779</v>
      </c>
      <c r="S86" s="97">
        <f t="shared" si="55"/>
        <v>833599.6076442897</v>
      </c>
    </row>
    <row r="87" spans="13:19" ht="12.75">
      <c r="M87" s="5"/>
      <c r="N87" s="5"/>
      <c r="O87" s="5"/>
      <c r="P87" s="5"/>
      <c r="Q87" s="5"/>
      <c r="R87" s="5"/>
      <c r="S87" s="5"/>
    </row>
    <row r="88" spans="13:19" ht="12.75">
      <c r="M88" s="5"/>
      <c r="N88" s="5"/>
      <c r="O88" s="5"/>
      <c r="P88" s="5"/>
      <c r="Q88" s="5"/>
      <c r="R88" s="5"/>
      <c r="S88" s="5"/>
    </row>
    <row r="108" spans="11:28" ht="12.75">
      <c r="K108" s="168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</row>
    <row r="109" spans="11:28" ht="12.75"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/>
      <c r="W109"/>
      <c r="X109"/>
      <c r="Y109"/>
      <c r="Z109"/>
      <c r="AA109"/>
      <c r="AB109"/>
    </row>
    <row r="110" spans="11:28" ht="12.75">
      <c r="K110" s="156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</row>
    <row r="111" spans="11:29" ht="12.75">
      <c r="K111" s="156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</row>
    <row r="112" spans="11:29" ht="12.75">
      <c r="K112" s="156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</row>
    <row r="113" spans="11:29" ht="82.5" customHeight="1">
      <c r="K113" s="156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</row>
    <row r="114" spans="11:28" ht="12.75">
      <c r="K114" s="156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/>
      <c r="W114"/>
      <c r="X114"/>
      <c r="Y114"/>
      <c r="Z114"/>
      <c r="AA114"/>
      <c r="AB114"/>
    </row>
    <row r="115" spans="11:28" ht="12.75">
      <c r="K115" s="158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/>
      <c r="W115"/>
      <c r="X115"/>
      <c r="Y115"/>
      <c r="Z115"/>
      <c r="AA115"/>
      <c r="AB115"/>
    </row>
  </sheetData>
  <sheetProtection/>
  <protectedRanges>
    <protectedRange sqref="C21:C22 C23:S28 E21:S21" name="Zakres4"/>
    <protectedRange sqref="E78:L78 C79:C86 D77:D79 E44:G45 C47:G47 C56:L57 C77 C30:C34 D34:L34 D33:G33 E79:G79 C39:G40 E77:G77 C61:S61 E42:G42 C42:D45 C58:G58 C51:G51 C54:G55 M37:Q37 C41:S41 M38:S38 C46:S46 M56:S56 D80:S86 D30 C35:L38 M34:S36 F30:K30 D31:S32 C66:G66 C64:O65 C48:S50 C60:G60 C62:F62 C63:G63 J62:O62 E43:S43 C59:S59 C52:S53 C67:S76 Q64:S65 Q62:S62" name="Zakres2"/>
    <protectedRange sqref="C13:S15 C20:S20 C9:S11" name="Zakres1"/>
    <protectedRange sqref="T30:U30 T34:U38 T32:U32 K109:L109 K113:L115 K111:L111" name="Zakres2_1"/>
  </protectedRanges>
  <mergeCells count="30">
    <mergeCell ref="K113:AC113"/>
    <mergeCell ref="K114:U115"/>
    <mergeCell ref="K108:AB108"/>
    <mergeCell ref="K110:AB110"/>
    <mergeCell ref="K111:AC111"/>
    <mergeCell ref="K112:AC112"/>
    <mergeCell ref="A77:A78"/>
    <mergeCell ref="A62:A65"/>
    <mergeCell ref="D77:L77"/>
    <mergeCell ref="T37:AD38"/>
    <mergeCell ref="T39:AD39"/>
    <mergeCell ref="A49:A51"/>
    <mergeCell ref="B77:B78"/>
    <mergeCell ref="C77:C78"/>
    <mergeCell ref="T5:U5"/>
    <mergeCell ref="T40:AD40"/>
    <mergeCell ref="A24:A27"/>
    <mergeCell ref="T35:AD36"/>
    <mergeCell ref="A5:B6"/>
    <mergeCell ref="T29:AK29"/>
    <mergeCell ref="T31:AK31"/>
    <mergeCell ref="T32:AL32"/>
    <mergeCell ref="T33:AL33"/>
    <mergeCell ref="T34:AL34"/>
    <mergeCell ref="F1:G1"/>
    <mergeCell ref="F2:G2"/>
    <mergeCell ref="C5:C6"/>
    <mergeCell ref="E5:S5"/>
    <mergeCell ref="J1:S1"/>
    <mergeCell ref="L4:S4"/>
  </mergeCells>
  <printOptions/>
  <pageMargins left="0.5905511811023623" right="0.5905511811023623" top="0.5905511811023623" bottom="0.38" header="0.32" footer="0.39"/>
  <pageSetup horizontalDpi="600" verticalDpi="600" orientation="landscape" paperSize="9" scale="65" r:id="rId1"/>
  <headerFooter alignWithMargins="0">
    <oddHeader>&amp;RZał. Nr 1 do uchwały Nr VII/27/11 Rady Miejskiej Brzegu z dnia 4 marca 2011 r.</oddHead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kasiac</dc:creator>
  <cp:keywords/>
  <dc:description/>
  <cp:lastModifiedBy>Urząd Miasta w Brzegu</cp:lastModifiedBy>
  <cp:lastPrinted>2011-03-08T11:28:23Z</cp:lastPrinted>
  <dcterms:created xsi:type="dcterms:W3CDTF">2004-10-05T07:26:56Z</dcterms:created>
  <dcterms:modified xsi:type="dcterms:W3CDTF">2011-03-08T11:28:26Z</dcterms:modified>
  <cp:category/>
  <cp:version/>
  <cp:contentType/>
  <cp:contentStatus/>
</cp:coreProperties>
</file>