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WPF 2012 - NOWY" sheetId="1" r:id="rId1"/>
  </sheets>
  <definedNames>
    <definedName name="_xlnm.Print_Titles" localSheetId="0">'WPF 2012 - NOWY'!$5:$5</definedName>
  </definedNames>
  <calcPr fullCalcOnLoad="1"/>
</workbook>
</file>

<file path=xl/sharedStrings.xml><?xml version="1.0" encoding="utf-8"?>
<sst xmlns="http://schemas.openxmlformats.org/spreadsheetml/2006/main" count="189" uniqueCount="147">
  <si>
    <t>L.p.</t>
  </si>
  <si>
    <t>Formuła</t>
  </si>
  <si>
    <t>Wyszczególnienie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</si>
  <si>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</si>
  <si>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</si>
  <si>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</si>
  <si>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</si>
  <si>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</si>
  <si>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</si>
  <si>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</si>
  <si>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</si>
  <si>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</si>
  <si>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[1a]+[1b]</t>
  </si>
  <si>
    <t>Dochody ogółem, z tego:</t>
  </si>
  <si>
    <t>1a</t>
  </si>
  <si>
    <t>Wydatki bieżące (bez odsetek i prowizji od: kredytów i pożyczek oraz wyemitowanych papierów wartościowych), w tym:</t>
  </si>
  <si>
    <t>2a</t>
  </si>
  <si>
    <t xml:space="preserve"> z tytułu gwarancji i poręczeń, w tym:</t>
  </si>
  <si>
    <t xml:space="preserve"> wydatki bieżące objęte limitem art. 226 ust. 4 ufp</t>
  </si>
  <si>
    <t>[1]-[2]</t>
  </si>
  <si>
    <t>4a</t>
  </si>
  <si>
    <t>Inne przychody nie związane z zaciągnięciem długu</t>
  </si>
  <si>
    <t>[3]+[4]+[5]</t>
  </si>
  <si>
    <t>Środki do dyspozycji (3+4+5)</t>
  </si>
  <si>
    <t>[7a]+[7b]</t>
  </si>
  <si>
    <t>Spłata i obsługa długu, z tego:</t>
  </si>
  <si>
    <t>7a</t>
  </si>
  <si>
    <t>7b</t>
  </si>
  <si>
    <t>Inne rozchody (bez spłaty długu np. udzielane pożyczki)</t>
  </si>
  <si>
    <t>[6]-[7]-[8]</t>
  </si>
  <si>
    <t>Środki do dyspozycji (6-7-8)</t>
  </si>
  <si>
    <t>Wydatki majątkowe, w tym:</t>
  </si>
  <si>
    <t>10a</t>
  </si>
  <si>
    <t xml:space="preserve"> wydatki majątkowe objęte limitem art. 226 ust. 4 ufp</t>
  </si>
  <si>
    <t>[9]-[10]+[11]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</si>
  <si>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</si>
  <si>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</si>
  <si>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</si>
  <si>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Maksymalny dopuszczalny wskaźnik spłaty z art. 243 ufp</t>
  </si>
  <si>
    <t>Relacja (Db-Wb+Dsm)/Do, o której mowa w art. 243 w danym roku</t>
  </si>
  <si>
    <t>[2]+[7b]</t>
  </si>
  <si>
    <t>[4]+[5]+[11]</t>
  </si>
  <si>
    <t>Przychody budżetu (4+5+11)</t>
  </si>
  <si>
    <t>[7a]+[8]</t>
  </si>
  <si>
    <t>Rozchody budżetu (7a + 8)</t>
  </si>
  <si>
    <t>w złotych</t>
  </si>
  <si>
    <t>na wynagrodzenia i składki od nich naliczane</t>
  </si>
  <si>
    <t>TAK</t>
  </si>
  <si>
    <t>Wyk. 2009</t>
  </si>
  <si>
    <t>Wyk. 2010</t>
  </si>
  <si>
    <t>Plan 3 kw. 2011</t>
  </si>
  <si>
    <t>Przew. 2011</t>
  </si>
  <si>
    <t>1a1</t>
  </si>
  <si>
    <t xml:space="preserve"> ze sprzedaży majątku</t>
  </si>
  <si>
    <t xml:space="preserve"> związane z funkcjonowaniem organów JST</t>
  </si>
  <si>
    <t xml:space="preserve"> na projekty realizowane przy udziale środków, o których mowa w art. 5 ust. 1 pkt 2</t>
  </si>
  <si>
    <t>Nadwyżka budżetowa z lat ubiegłych plus wolne środki, o których mowa w art. 217 ust.1 pkt 6 ufp, angażowane w budżecie roku bieżącego</t>
  </si>
  <si>
    <t xml:space="preserve"> w tym: na pokrycie deficytu budżetu</t>
  </si>
  <si>
    <t>5a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</si>
  <si>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</si>
  <si>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</si>
  <si>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</si>
  <si>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7b1</t>
  </si>
  <si>
    <t xml:space="preserve">  w tym: odsetki i dyskonto</t>
  </si>
  <si>
    <t>10b</t>
  </si>
  <si>
    <t>11a</t>
  </si>
  <si>
    <t>Kwota długu</t>
  </si>
  <si>
    <t xml:space="preserve"> w tym: dług spłacany wydatkami (zobowiązania wymagalne, umowy zaliczane do kategorii kredytów i pożyczek, itp.)</t>
  </si>
  <si>
    <t>Łączna kwota wyłączeń z art. 170 ust. 3 sufp</t>
  </si>
  <si>
    <t>Kwoty nadwyżki budżetowej planowanej w poszczególnych latach objętych prognozą **</t>
  </si>
  <si>
    <t>Wartość przejętych zobowiązań</t>
  </si>
  <si>
    <t>17a</t>
  </si>
  <si>
    <t xml:space="preserve"> w tym od spzoz</t>
  </si>
  <si>
    <t>([13])/[1]</t>
  </si>
  <si>
    <t>Zadłużenie/dochody ogółem - max 60% z art. 170 sufp (bez wyłączeń)</t>
  </si>
  <si>
    <t>18a</t>
  </si>
  <si>
    <t>([13]-[14])/[1]</t>
  </si>
  <si>
    <t>Zadłużenie/dochody ogółem - max 60% z art. 170 sufp (po uwzględnieniu wyłączeń)</t>
  </si>
  <si>
    <t>([7a]+[7b1]+[2c])/[1]</t>
  </si>
  <si>
    <t>Planowana łączna kwota spłaty zobowiązań/dochody ogółem - max 15% z art. 169 sufp (bez wyłączeń)</t>
  </si>
  <si>
    <t>19a</t>
  </si>
  <si>
    <t>([7a]+[7b1]+[2c]-[2d]-[7a1])/[1]</t>
  </si>
  <si>
    <t>Planowana łączna kwota spłaty zobowiązań/dochody ogółem - max 15% z art. 169 sufp (po uwzględnieniu wyłączeń)</t>
  </si>
  <si>
    <t xml:space="preserve"> ([1a]-[24]+[1c])/[1]</t>
  </si>
  <si>
    <t>20a</t>
  </si>
  <si>
    <t>średnia z 3 lat [20]</t>
  </si>
  <si>
    <t>([7a]+[7b1]+[2c]+[15])/[1]</t>
  </si>
  <si>
    <t>Relacja planowanej łącznej kwoty spłaty zobowiązań do dochodów  (bez wyłączeń)</t>
  </si>
  <si>
    <t>21a</t>
  </si>
  <si>
    <t>[21]&lt;=[20a]</t>
  </si>
  <si>
    <t>Spełnienie wskaźnika spłaty z art. 243 ufp po uwzględnieniu art. 244 ufp (bez wyłączeń)</t>
  </si>
  <si>
    <t>NIE</t>
  </si>
  <si>
    <t>([7a]+[7b1]+[2c]+[15]-[2d]-[7a1])/[1]</t>
  </si>
  <si>
    <t>Relacja planowanej łącznej kwoty spłaty zobowiązań do dochodów (po uwzględnieniu wyłączeń)</t>
  </si>
  <si>
    <t>22a</t>
  </si>
  <si>
    <t>[22]&lt;=[20a]</t>
  </si>
  <si>
    <t>Spełnienie wskaźnika spłaty z art. 243 ufp po uwzględnieniu art. 244 ufp (po uwzględnieniu wyłączeń)</t>
  </si>
  <si>
    <t>[1a]</t>
  </si>
  <si>
    <t>[23]-[24]</t>
  </si>
  <si>
    <t>Dochody bieżące - wydatki bieżące</t>
  </si>
  <si>
    <t>[1]</t>
  </si>
  <si>
    <t>Dochody ogółem (1)</t>
  </si>
  <si>
    <t>[10]+[24]</t>
  </si>
  <si>
    <t>[26]-[27]</t>
  </si>
  <si>
    <t>Wynik budżetu</t>
  </si>
  <si>
    <t>Wydatki ogółem, z tego:</t>
  </si>
  <si>
    <t>Wydatki bieżące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</si>
  <si>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</si>
  <si>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</si>
  <si>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</si>
  <si>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</si>
  <si>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</si>
  <si>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</si>
  <si>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</si>
  <si>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dochody z tytułu przekształcenia prawa użytkowania wieczystego w prawo własności</t>
  </si>
  <si>
    <t xml:space="preserve">rozdz.75022, 75023, </t>
  </si>
  <si>
    <t xml:space="preserve"> gwarancje i poręczenia podlegające wyłączeniu z limitów spłaty zobowiązań z art. 243 ufp/169 ufp</t>
  </si>
  <si>
    <t>Załącznik nr 1</t>
  </si>
  <si>
    <t xml:space="preserve"> dotacje i środki z UE*</t>
  </si>
  <si>
    <t xml:space="preserve"> dochody bieżące, w tym:</t>
  </si>
  <si>
    <t xml:space="preserve">subwencje </t>
  </si>
  <si>
    <t xml:space="preserve">dochdy własne (podatki, opłaty, najmy, dzierżawy itp.) </t>
  </si>
  <si>
    <t>dotacje i  środki z UE*</t>
  </si>
  <si>
    <t xml:space="preserve">pozostałe dotacje </t>
  </si>
  <si>
    <t xml:space="preserve"> dochody majątkowe, w tym:</t>
  </si>
  <si>
    <t>Wieloletnia Prognoza Finansowa wraz z prognozą kwoty długu na lata 2012-2027</t>
  </si>
  <si>
    <t>Kredyty, pożyczki, sprzedaż papierów wartościowych, prywatyzacja majątku</t>
  </si>
  <si>
    <t xml:space="preserve"> Wydatki bieżące na obsługę długu</t>
  </si>
  <si>
    <t>2a1</t>
  </si>
  <si>
    <t>1a2</t>
  </si>
  <si>
    <t>1a3</t>
  </si>
  <si>
    <t>1a4</t>
  </si>
  <si>
    <t>1b1</t>
  </si>
  <si>
    <t>1b2</t>
  </si>
  <si>
    <t>1b3</t>
  </si>
  <si>
    <t>1b4</t>
  </si>
  <si>
    <t>2a1a</t>
  </si>
  <si>
    <t>2a1b</t>
  </si>
  <si>
    <t>2a1c</t>
  </si>
  <si>
    <t>2a1c/1</t>
  </si>
  <si>
    <t>2a1d</t>
  </si>
  <si>
    <t>2a1e</t>
  </si>
  <si>
    <t>Różnica (1-2a1)</t>
  </si>
  <si>
    <t>Wydatki bieżące razem (2a + 7b)</t>
  </si>
  <si>
    <t>Wydatki ogółem (2)</t>
  </si>
  <si>
    <t>1b</t>
  </si>
  <si>
    <t>Dochody bieżące (1a)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</si>
</sst>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5">
    <font>
      <sz val="10"/>
      <name val="Arial"/>
      <family val="0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6.5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sz val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" fillId="25" borderId="13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4" borderId="0" xfId="0" applyFont="1" applyFill="1" applyBorder="1" applyAlignment="1">
      <alignment horizontal="center" wrapText="1"/>
    </xf>
    <xf numFmtId="0" fontId="23" fillId="24" borderId="16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8" fillId="0" borderId="0" xfId="0" applyFont="1" applyAlignment="1">
      <alignment/>
    </xf>
    <xf numFmtId="0" fontId="23" fillId="26" borderId="21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1" fillId="27" borderId="13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26" borderId="12" xfId="0" applyFont="1" applyFill="1" applyBorder="1" applyAlignment="1">
      <alignment wrapText="1"/>
    </xf>
    <xf numFmtId="3" fontId="30" fillId="26" borderId="25" xfId="54" applyNumberFormat="1" applyFont="1" applyFill="1" applyBorder="1" applyAlignment="1">
      <alignment horizontal="right" vertical="center" wrapText="1"/>
      <protection/>
    </xf>
    <xf numFmtId="3" fontId="30" fillId="26" borderId="25" xfId="54" applyNumberFormat="1" applyFont="1" applyFill="1" applyBorder="1" applyAlignment="1">
      <alignment horizontal="right" vertical="center"/>
      <protection/>
    </xf>
    <xf numFmtId="3" fontId="27" fillId="26" borderId="26" xfId="0" applyNumberFormat="1" applyFont="1" applyFill="1" applyBorder="1" applyAlignment="1">
      <alignment vertical="center"/>
    </xf>
    <xf numFmtId="0" fontId="29" fillId="0" borderId="13" xfId="0" applyFont="1" applyBorder="1" applyAlignment="1">
      <alignment horizontal="left" wrapText="1"/>
    </xf>
    <xf numFmtId="3" fontId="30" fillId="0" borderId="25" xfId="54" applyNumberFormat="1" applyFont="1" applyFill="1" applyBorder="1" applyAlignment="1">
      <alignment horizontal="right" vertical="center" wrapText="1"/>
      <protection/>
    </xf>
    <xf numFmtId="3" fontId="30" fillId="0" borderId="25" xfId="54" applyNumberFormat="1" applyFont="1" applyFill="1" applyBorder="1" applyAlignment="1">
      <alignment horizontal="right" vertical="center"/>
      <protection/>
    </xf>
    <xf numFmtId="3" fontId="27" fillId="0" borderId="25" xfId="0" applyNumberFormat="1" applyFont="1" applyBorder="1" applyAlignment="1">
      <alignment vertical="center"/>
    </xf>
    <xf numFmtId="0" fontId="31" fillId="0" borderId="13" xfId="0" applyFont="1" applyBorder="1" applyAlignment="1">
      <alignment wrapText="1"/>
    </xf>
    <xf numFmtId="3" fontId="32" fillId="0" borderId="25" xfId="54" applyNumberFormat="1" applyFont="1" applyFill="1" applyBorder="1" applyAlignment="1">
      <alignment horizontal="right" vertical="center" wrapText="1"/>
      <protection/>
    </xf>
    <xf numFmtId="3" fontId="32" fillId="0" borderId="25" xfId="54" applyNumberFormat="1" applyFont="1" applyFill="1" applyBorder="1" applyAlignment="1">
      <alignment horizontal="right" vertical="center"/>
      <protection/>
    </xf>
    <xf numFmtId="3" fontId="28" fillId="0" borderId="25" xfId="0" applyNumberFormat="1" applyFont="1" applyBorder="1" applyAlignment="1">
      <alignment vertical="center"/>
    </xf>
    <xf numFmtId="0" fontId="31" fillId="24" borderId="13" xfId="0" applyFont="1" applyFill="1" applyBorder="1" applyAlignment="1">
      <alignment wrapText="1"/>
    </xf>
    <xf numFmtId="3" fontId="28" fillId="28" borderId="25" xfId="54" applyNumberFormat="1" applyFont="1" applyFill="1" applyBorder="1" applyAlignment="1">
      <alignment horizontal="right" vertical="center" wrapText="1"/>
      <protection/>
    </xf>
    <xf numFmtId="3" fontId="32" fillId="28" borderId="25" xfId="54" applyNumberFormat="1" applyFont="1" applyFill="1" applyBorder="1" applyAlignment="1">
      <alignment horizontal="right" vertical="center" wrapText="1"/>
      <protection/>
    </xf>
    <xf numFmtId="3" fontId="28" fillId="28" borderId="25" xfId="54" applyNumberFormat="1" applyFont="1" applyFill="1" applyBorder="1" applyAlignment="1">
      <alignment horizontal="right" vertical="center"/>
      <protection/>
    </xf>
    <xf numFmtId="3" fontId="28" fillId="24" borderId="25" xfId="0" applyNumberFormat="1" applyFont="1" applyFill="1" applyBorder="1" applyAlignment="1">
      <alignment vertical="center"/>
    </xf>
    <xf numFmtId="3" fontId="28" fillId="24" borderId="27" xfId="0" applyNumberFormat="1" applyFont="1" applyFill="1" applyBorder="1" applyAlignment="1">
      <alignment vertical="center"/>
    </xf>
    <xf numFmtId="0" fontId="29" fillId="24" borderId="13" xfId="0" applyFont="1" applyFill="1" applyBorder="1" applyAlignment="1">
      <alignment wrapText="1"/>
    </xf>
    <xf numFmtId="3" fontId="30" fillId="28" borderId="25" xfId="54" applyNumberFormat="1" applyFont="1" applyFill="1" applyBorder="1" applyAlignment="1">
      <alignment horizontal="right" vertical="center" wrapText="1"/>
      <protection/>
    </xf>
    <xf numFmtId="3" fontId="30" fillId="28" borderId="25" xfId="54" applyNumberFormat="1" applyFont="1" applyFill="1" applyBorder="1" applyAlignment="1">
      <alignment horizontal="right" vertical="center"/>
      <protection/>
    </xf>
    <xf numFmtId="3" fontId="27" fillId="24" borderId="25" xfId="0" applyNumberFormat="1" applyFont="1" applyFill="1" applyBorder="1" applyAlignment="1">
      <alignment vertical="center"/>
    </xf>
    <xf numFmtId="0" fontId="31" fillId="24" borderId="15" xfId="0" applyFont="1" applyFill="1" applyBorder="1" applyAlignment="1">
      <alignment wrapText="1"/>
    </xf>
    <xf numFmtId="3" fontId="32" fillId="28" borderId="25" xfId="54" applyNumberFormat="1" applyFont="1" applyFill="1" applyBorder="1" applyAlignment="1">
      <alignment horizontal="right" vertical="center"/>
      <protection/>
    </xf>
    <xf numFmtId="3" fontId="28" fillId="0" borderId="25" xfId="57" applyNumberFormat="1" applyFont="1" applyBorder="1" applyAlignment="1">
      <alignment horizontal="right" vertical="center" wrapText="1"/>
      <protection/>
    </xf>
    <xf numFmtId="3" fontId="28" fillId="0" borderId="28" xfId="57" applyNumberFormat="1" applyFont="1" applyBorder="1" applyAlignment="1">
      <alignment horizontal="right" vertical="center" wrapText="1"/>
      <protection/>
    </xf>
    <xf numFmtId="0" fontId="31" fillId="24" borderId="13" xfId="56" applyFont="1" applyFill="1" applyBorder="1" applyAlignment="1">
      <alignment horizontal="left" vertical="center" wrapText="1"/>
      <protection/>
    </xf>
    <xf numFmtId="3" fontId="32" fillId="28" borderId="29" xfId="54" applyNumberFormat="1" applyFont="1" applyFill="1" applyBorder="1" applyAlignment="1">
      <alignment horizontal="right" vertical="center" wrapText="1"/>
      <protection/>
    </xf>
    <xf numFmtId="0" fontId="31" fillId="24" borderId="30" xfId="0" applyFont="1" applyFill="1" applyBorder="1" applyAlignment="1">
      <alignment wrapText="1"/>
    </xf>
    <xf numFmtId="3" fontId="28" fillId="28" borderId="29" xfId="54" applyNumberFormat="1" applyFont="1" applyFill="1" applyBorder="1" applyAlignment="1">
      <alignment horizontal="right" vertical="center" wrapText="1"/>
      <protection/>
    </xf>
    <xf numFmtId="0" fontId="29" fillId="26" borderId="13" xfId="0" applyFont="1" applyFill="1" applyBorder="1" applyAlignment="1">
      <alignment wrapText="1"/>
    </xf>
    <xf numFmtId="3" fontId="30" fillId="26" borderId="29" xfId="54" applyNumberFormat="1" applyFont="1" applyFill="1" applyBorder="1" applyAlignment="1">
      <alignment horizontal="right" vertical="center" wrapText="1"/>
      <protection/>
    </xf>
    <xf numFmtId="3" fontId="27" fillId="26" borderId="25" xfId="0" applyNumberFormat="1" applyFont="1" applyFill="1" applyBorder="1" applyAlignment="1">
      <alignment vertical="center"/>
    </xf>
    <xf numFmtId="0" fontId="31" fillId="0" borderId="15" xfId="0" applyFont="1" applyBorder="1" applyAlignment="1">
      <alignment wrapText="1"/>
    </xf>
    <xf numFmtId="3" fontId="32" fillId="0" borderId="29" xfId="54" applyNumberFormat="1" applyFont="1" applyFill="1" applyBorder="1" applyAlignment="1">
      <alignment horizontal="right" vertical="center" wrapText="1"/>
      <protection/>
    </xf>
    <xf numFmtId="0" fontId="31" fillId="27" borderId="13" xfId="0" applyFont="1" applyFill="1" applyBorder="1" applyAlignment="1">
      <alignment wrapText="1"/>
    </xf>
    <xf numFmtId="3" fontId="32" fillId="27" borderId="31" xfId="54" applyNumberFormat="1" applyFont="1" applyFill="1" applyBorder="1" applyAlignment="1">
      <alignment horizontal="right" vertical="center" wrapText="1"/>
      <protection/>
    </xf>
    <xf numFmtId="3" fontId="28" fillId="27" borderId="25" xfId="0" applyNumberFormat="1" applyFont="1" applyFill="1" applyBorder="1" applyAlignment="1">
      <alignment vertical="center"/>
    </xf>
    <xf numFmtId="3" fontId="28" fillId="0" borderId="32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31" fillId="24" borderId="13" xfId="0" applyFont="1" applyFill="1" applyBorder="1" applyAlignment="1">
      <alignment vertical="center" wrapText="1"/>
    </xf>
    <xf numFmtId="3" fontId="27" fillId="24" borderId="32" xfId="0" applyNumberFormat="1" applyFont="1" applyFill="1" applyBorder="1" applyAlignment="1">
      <alignment vertical="center"/>
    </xf>
    <xf numFmtId="3" fontId="28" fillId="28" borderId="32" xfId="0" applyNumberFormat="1" applyFont="1" applyFill="1" applyBorder="1" applyAlignment="1">
      <alignment vertical="center"/>
    </xf>
    <xf numFmtId="3" fontId="28" fillId="28" borderId="28" xfId="0" applyNumberFormat="1" applyFont="1" applyFill="1" applyBorder="1" applyAlignment="1">
      <alignment vertical="center"/>
    </xf>
    <xf numFmtId="3" fontId="28" fillId="28" borderId="25" xfId="0" applyNumberFormat="1" applyFont="1" applyFill="1" applyBorder="1" applyAlignment="1">
      <alignment vertical="center"/>
    </xf>
    <xf numFmtId="3" fontId="27" fillId="24" borderId="29" xfId="0" applyNumberFormat="1" applyFont="1" applyFill="1" applyBorder="1" applyAlignment="1">
      <alignment vertical="center"/>
    </xf>
    <xf numFmtId="3" fontId="27" fillId="24" borderId="33" xfId="0" applyNumberFormat="1" applyFont="1" applyFill="1" applyBorder="1" applyAlignment="1">
      <alignment vertical="center"/>
    </xf>
    <xf numFmtId="3" fontId="32" fillId="0" borderId="34" xfId="54" applyNumberFormat="1" applyFont="1" applyFill="1" applyBorder="1" applyAlignment="1">
      <alignment horizontal="right" vertical="center" wrapText="1"/>
      <protection/>
    </xf>
    <xf numFmtId="3" fontId="32" fillId="0" borderId="35" xfId="54" applyNumberFormat="1" applyFont="1" applyFill="1" applyBorder="1" applyAlignment="1">
      <alignment horizontal="right" vertical="center"/>
      <protection/>
    </xf>
    <xf numFmtId="0" fontId="29" fillId="27" borderId="13" xfId="0" applyFont="1" applyFill="1" applyBorder="1" applyAlignment="1">
      <alignment wrapText="1"/>
    </xf>
    <xf numFmtId="3" fontId="27" fillId="27" borderId="32" xfId="0" applyNumberFormat="1" applyFont="1" applyFill="1" applyBorder="1" applyAlignment="1">
      <alignment vertical="center"/>
    </xf>
    <xf numFmtId="3" fontId="27" fillId="27" borderId="29" xfId="0" applyNumberFormat="1" applyFont="1" applyFill="1" applyBorder="1" applyAlignment="1">
      <alignment vertical="center"/>
    </xf>
    <xf numFmtId="3" fontId="27" fillId="27" borderId="33" xfId="0" applyNumberFormat="1" applyFont="1" applyFill="1" applyBorder="1" applyAlignment="1">
      <alignment vertical="center"/>
    </xf>
    <xf numFmtId="3" fontId="27" fillId="27" borderId="25" xfId="0" applyNumberFormat="1" applyFont="1" applyFill="1" applyBorder="1" applyAlignment="1">
      <alignment vertical="center"/>
    </xf>
    <xf numFmtId="3" fontId="32" fillId="0" borderId="36" xfId="54" applyNumberFormat="1" applyFont="1" applyFill="1" applyBorder="1" applyAlignment="1">
      <alignment horizontal="right" vertical="center" wrapText="1"/>
      <protection/>
    </xf>
    <xf numFmtId="3" fontId="32" fillId="0" borderId="36" xfId="54" applyNumberFormat="1" applyFont="1" applyFill="1" applyBorder="1" applyAlignment="1">
      <alignment horizontal="right" vertical="center"/>
      <protection/>
    </xf>
    <xf numFmtId="0" fontId="29" fillId="24" borderId="15" xfId="0" applyFont="1" applyFill="1" applyBorder="1" applyAlignment="1">
      <alignment wrapText="1"/>
    </xf>
    <xf numFmtId="3" fontId="30" fillId="0" borderId="29" xfId="54" applyNumberFormat="1" applyFont="1" applyFill="1" applyBorder="1" applyAlignment="1">
      <alignment horizontal="right" vertical="center" wrapText="1"/>
      <protection/>
    </xf>
    <xf numFmtId="3" fontId="27" fillId="27" borderId="34" xfId="54" applyNumberFormat="1" applyFont="1" applyFill="1" applyBorder="1" applyAlignment="1">
      <alignment horizontal="right" vertical="center" wrapText="1"/>
      <protection/>
    </xf>
    <xf numFmtId="3" fontId="27" fillId="27" borderId="34" xfId="54" applyNumberFormat="1" applyFont="1" applyFill="1" applyBorder="1" applyAlignment="1">
      <alignment horizontal="right" vertical="center"/>
      <protection/>
    </xf>
    <xf numFmtId="3" fontId="28" fillId="28" borderId="37" xfId="54" applyNumberFormat="1" applyFont="1" applyFill="1" applyBorder="1" applyAlignment="1">
      <alignment horizontal="right" vertical="center" wrapText="1"/>
      <protection/>
    </xf>
    <xf numFmtId="3" fontId="28" fillId="28" borderId="35" xfId="54" applyNumberFormat="1" applyFont="1" applyFill="1" applyBorder="1" applyAlignment="1">
      <alignment horizontal="right" vertical="center" wrapText="1"/>
      <protection/>
    </xf>
    <xf numFmtId="3" fontId="28" fillId="28" borderId="34" xfId="54" applyNumberFormat="1" applyFont="1" applyFill="1" applyBorder="1" applyAlignment="1">
      <alignment horizontal="right" vertical="center"/>
      <protection/>
    </xf>
    <xf numFmtId="3" fontId="30" fillId="27" borderId="34" xfId="54" applyNumberFormat="1" applyFont="1" applyFill="1" applyBorder="1" applyAlignment="1">
      <alignment horizontal="right" vertical="center" wrapText="1"/>
      <protection/>
    </xf>
    <xf numFmtId="3" fontId="30" fillId="27" borderId="35" xfId="54" applyNumberFormat="1" applyFont="1" applyFill="1" applyBorder="1" applyAlignment="1">
      <alignment horizontal="right" vertical="center" wrapText="1"/>
      <protection/>
    </xf>
    <xf numFmtId="3" fontId="30" fillId="27" borderId="25" xfId="54" applyNumberFormat="1" applyFont="1" applyFill="1" applyBorder="1" applyAlignment="1">
      <alignment horizontal="right" vertical="center" wrapText="1"/>
      <protection/>
    </xf>
    <xf numFmtId="3" fontId="32" fillId="0" borderId="31" xfId="54" applyNumberFormat="1" applyFont="1" applyFill="1" applyBorder="1" applyAlignment="1">
      <alignment horizontal="right" vertical="center" wrapText="1"/>
      <protection/>
    </xf>
    <xf numFmtId="3" fontId="27" fillId="0" borderId="32" xfId="0" applyNumberFormat="1" applyFont="1" applyBorder="1" applyAlignment="1">
      <alignment vertical="center"/>
    </xf>
    <xf numFmtId="3" fontId="27" fillId="0" borderId="29" xfId="0" applyNumberFormat="1" applyFont="1" applyBorder="1" applyAlignment="1">
      <alignment vertical="center"/>
    </xf>
    <xf numFmtId="3" fontId="27" fillId="0" borderId="33" xfId="0" applyNumberFormat="1" applyFont="1" applyBorder="1" applyAlignment="1">
      <alignment vertical="center"/>
    </xf>
    <xf numFmtId="3" fontId="30" fillId="27" borderId="36" xfId="54" applyNumberFormat="1" applyFont="1" applyFill="1" applyBorder="1" applyAlignment="1">
      <alignment horizontal="right" vertical="center" wrapText="1"/>
      <protection/>
    </xf>
    <xf numFmtId="3" fontId="27" fillId="27" borderId="36" xfId="54" applyNumberFormat="1" applyFont="1" applyFill="1" applyBorder="1" applyAlignment="1">
      <alignment horizontal="right" vertical="center" wrapText="1"/>
      <protection/>
    </xf>
    <xf numFmtId="3" fontId="27" fillId="27" borderId="28" xfId="0" applyNumberFormat="1" applyFont="1" applyFill="1" applyBorder="1" applyAlignment="1">
      <alignment vertical="center"/>
    </xf>
    <xf numFmtId="3" fontId="27" fillId="27" borderId="27" xfId="0" applyNumberFormat="1" applyFont="1" applyFill="1" applyBorder="1" applyAlignment="1">
      <alignment vertical="center"/>
    </xf>
    <xf numFmtId="10" fontId="29" fillId="24" borderId="32" xfId="0" applyNumberFormat="1" applyFont="1" applyFill="1" applyBorder="1" applyAlignment="1">
      <alignment vertical="center"/>
    </xf>
    <xf numFmtId="10" fontId="29" fillId="24" borderId="29" xfId="0" applyNumberFormat="1" applyFont="1" applyFill="1" applyBorder="1" applyAlignment="1">
      <alignment vertical="center"/>
    </xf>
    <xf numFmtId="10" fontId="29" fillId="24" borderId="33" xfId="0" applyNumberFormat="1" applyFont="1" applyFill="1" applyBorder="1" applyAlignment="1">
      <alignment vertical="center"/>
    </xf>
    <xf numFmtId="10" fontId="29" fillId="24" borderId="25" xfId="0" applyNumberFormat="1" applyFont="1" applyFill="1" applyBorder="1" applyAlignment="1">
      <alignment vertical="center"/>
    </xf>
    <xf numFmtId="0" fontId="31" fillId="25" borderId="13" xfId="0" applyFont="1" applyFill="1" applyBorder="1" applyAlignment="1">
      <alignment wrapText="1"/>
    </xf>
    <xf numFmtId="10" fontId="29" fillId="25" borderId="32" xfId="0" applyNumberFormat="1" applyFont="1" applyFill="1" applyBorder="1" applyAlignment="1">
      <alignment vertical="center"/>
    </xf>
    <xf numFmtId="10" fontId="29" fillId="25" borderId="29" xfId="0" applyNumberFormat="1" applyFont="1" applyFill="1" applyBorder="1" applyAlignment="1">
      <alignment vertical="center"/>
    </xf>
    <xf numFmtId="10" fontId="29" fillId="25" borderId="25" xfId="0" applyNumberFormat="1" applyFont="1" applyFill="1" applyBorder="1" applyAlignment="1">
      <alignment vertical="center"/>
    </xf>
    <xf numFmtId="10" fontId="29" fillId="24" borderId="32" xfId="0" applyNumberFormat="1" applyFont="1" applyFill="1" applyBorder="1" applyAlignment="1">
      <alignment horizontal="center" vertical="center"/>
    </xf>
    <xf numFmtId="10" fontId="29" fillId="24" borderId="25" xfId="0" applyNumberFormat="1" applyFont="1" applyFill="1" applyBorder="1" applyAlignment="1">
      <alignment horizontal="center" vertical="center"/>
    </xf>
    <xf numFmtId="10" fontId="29" fillId="24" borderId="28" xfId="0" applyNumberFormat="1" applyFont="1" applyFill="1" applyBorder="1" applyAlignment="1">
      <alignment horizontal="center" vertical="center"/>
    </xf>
    <xf numFmtId="10" fontId="29" fillId="25" borderId="33" xfId="0" applyNumberFormat="1" applyFont="1" applyFill="1" applyBorder="1" applyAlignment="1">
      <alignment vertical="center"/>
    </xf>
    <xf numFmtId="10" fontId="29" fillId="29" borderId="38" xfId="0" applyNumberFormat="1" applyFont="1" applyFill="1" applyBorder="1" applyAlignment="1">
      <alignment horizontal="center" vertical="center"/>
    </xf>
    <xf numFmtId="10" fontId="29" fillId="29" borderId="39" xfId="0" applyNumberFormat="1" applyFont="1" applyFill="1" applyBorder="1" applyAlignment="1">
      <alignment horizontal="center" vertical="center"/>
    </xf>
    <xf numFmtId="10" fontId="29" fillId="29" borderId="40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wrapText="1"/>
    </xf>
    <xf numFmtId="3" fontId="29" fillId="0" borderId="41" xfId="0" applyNumberFormat="1" applyFont="1" applyBorder="1" applyAlignment="1">
      <alignment vertical="center"/>
    </xf>
    <xf numFmtId="3" fontId="29" fillId="0" borderId="42" xfId="0" applyNumberFormat="1" applyFont="1" applyBorder="1" applyAlignment="1">
      <alignment vertical="center"/>
    </xf>
    <xf numFmtId="3" fontId="29" fillId="24" borderId="42" xfId="0" applyNumberFormat="1" applyFont="1" applyFill="1" applyBorder="1" applyAlignment="1">
      <alignment vertical="center"/>
    </xf>
    <xf numFmtId="3" fontId="29" fillId="0" borderId="43" xfId="0" applyNumberFormat="1" applyFont="1" applyBorder="1" applyAlignment="1">
      <alignment vertical="center"/>
    </xf>
    <xf numFmtId="3" fontId="29" fillId="0" borderId="44" xfId="0" applyNumberFormat="1" applyFont="1" applyBorder="1" applyAlignment="1">
      <alignment vertical="center"/>
    </xf>
    <xf numFmtId="0" fontId="29" fillId="0" borderId="13" xfId="0" applyFont="1" applyBorder="1" applyAlignment="1">
      <alignment wrapText="1"/>
    </xf>
    <xf numFmtId="3" fontId="29" fillId="0" borderId="32" xfId="0" applyNumberFormat="1" applyFont="1" applyBorder="1" applyAlignment="1">
      <alignment vertical="center"/>
    </xf>
    <xf numFmtId="3" fontId="29" fillId="0" borderId="29" xfId="0" applyNumberFormat="1" applyFont="1" applyBorder="1" applyAlignment="1">
      <alignment vertical="center"/>
    </xf>
    <xf numFmtId="3" fontId="29" fillId="24" borderId="29" xfId="0" applyNumberFormat="1" applyFont="1" applyFill="1" applyBorder="1" applyAlignment="1">
      <alignment vertical="center"/>
    </xf>
    <xf numFmtId="3" fontId="29" fillId="0" borderId="33" xfId="0" applyNumberFormat="1" applyFont="1" applyBorder="1" applyAlignment="1">
      <alignment vertical="center"/>
    </xf>
    <xf numFmtId="3" fontId="29" fillId="0" borderId="25" xfId="0" applyNumberFormat="1" applyFont="1" applyBorder="1" applyAlignment="1">
      <alignment vertical="center"/>
    </xf>
    <xf numFmtId="0" fontId="29" fillId="0" borderId="14" xfId="0" applyFont="1" applyBorder="1" applyAlignment="1">
      <alignment wrapText="1"/>
    </xf>
    <xf numFmtId="3" fontId="29" fillId="0" borderId="45" xfId="0" applyNumberFormat="1" applyFont="1" applyBorder="1" applyAlignment="1">
      <alignment vertical="center"/>
    </xf>
    <xf numFmtId="3" fontId="29" fillId="0" borderId="46" xfId="0" applyNumberFormat="1" applyFont="1" applyBorder="1" applyAlignment="1">
      <alignment vertical="center"/>
    </xf>
    <xf numFmtId="3" fontId="29" fillId="24" borderId="46" xfId="0" applyNumberFormat="1" applyFont="1" applyFill="1" applyBorder="1" applyAlignment="1">
      <alignment vertical="center"/>
    </xf>
    <xf numFmtId="3" fontId="29" fillId="0" borderId="47" xfId="0" applyNumberFormat="1" applyFont="1" applyBorder="1" applyAlignment="1">
      <alignment vertical="center"/>
    </xf>
    <xf numFmtId="3" fontId="29" fillId="0" borderId="48" xfId="0" applyNumberFormat="1" applyFont="1" applyBorder="1" applyAlignment="1">
      <alignment vertical="center"/>
    </xf>
    <xf numFmtId="0" fontId="29" fillId="0" borderId="15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57" applyFont="1">
      <alignment/>
      <protection/>
    </xf>
    <xf numFmtId="3" fontId="30" fillId="27" borderId="32" xfId="54" applyNumberFormat="1" applyFont="1" applyFill="1" applyBorder="1" applyAlignment="1">
      <alignment horizontal="right" vertical="center" wrapText="1"/>
      <protection/>
    </xf>
    <xf numFmtId="0" fontId="0" fillId="28" borderId="0" xfId="0" applyFill="1" applyAlignment="1">
      <alignment/>
    </xf>
    <xf numFmtId="3" fontId="27" fillId="27" borderId="13" xfId="55" applyNumberFormat="1" applyFont="1" applyFill="1" applyBorder="1" applyAlignment="1">
      <alignment shrinkToFit="1"/>
      <protection/>
    </xf>
    <xf numFmtId="3" fontId="32" fillId="28" borderId="34" xfId="54" applyNumberFormat="1" applyFont="1" applyFill="1" applyBorder="1" applyAlignment="1">
      <alignment horizontal="right" vertical="center" wrapText="1"/>
      <protection/>
    </xf>
    <xf numFmtId="0" fontId="34" fillId="0" borderId="0" xfId="0" applyFont="1" applyAlignment="1">
      <alignment horizont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6 2" xfId="54"/>
    <cellStyle name="Normalny_Arkusz1" xfId="55"/>
    <cellStyle name="Normalny_dochody 2009" xfId="56"/>
    <cellStyle name="Normalny_prognoza obsługi długu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9"/>
  <sheetViews>
    <sheetView tabSelected="1" workbookViewId="0" topLeftCell="A1">
      <selection activeCell="W3" sqref="W3"/>
    </sheetView>
  </sheetViews>
  <sheetFormatPr defaultColWidth="9.140625" defaultRowHeight="12.75"/>
  <cols>
    <col min="1" max="1" width="4.7109375" style="4" customWidth="1"/>
    <col min="2" max="2" width="0.13671875" style="1" hidden="1" customWidth="1"/>
    <col min="3" max="3" width="32.421875" style="0" customWidth="1"/>
    <col min="4" max="4" width="13.140625" style="0" customWidth="1"/>
    <col min="5" max="6" width="13.7109375" style="0" customWidth="1"/>
    <col min="7" max="7" width="12.28125" style="0" customWidth="1"/>
    <col min="8" max="8" width="14.140625" style="0" customWidth="1"/>
    <col min="9" max="9" width="13.00390625" style="0" customWidth="1"/>
    <col min="10" max="10" width="12.8515625" style="0" customWidth="1"/>
    <col min="11" max="11" width="14.140625" style="0" customWidth="1"/>
    <col min="12" max="12" width="13.140625" style="0" customWidth="1"/>
    <col min="13" max="13" width="14.8515625" style="0" customWidth="1"/>
    <col min="14" max="14" width="14.57421875" style="0" customWidth="1"/>
    <col min="15" max="15" width="13.57421875" style="0" customWidth="1"/>
    <col min="16" max="16" width="13.28125" style="0" customWidth="1"/>
    <col min="17" max="17" width="14.28125" style="0" customWidth="1"/>
    <col min="18" max="18" width="13.28125" style="0" customWidth="1"/>
    <col min="19" max="20" width="13.57421875" style="0" customWidth="1"/>
    <col min="21" max="21" width="14.00390625" style="0" customWidth="1"/>
    <col min="22" max="22" width="13.57421875" style="0" customWidth="1"/>
    <col min="23" max="23" width="14.28125" style="0" customWidth="1"/>
  </cols>
  <sheetData>
    <row r="2" ht="12.75">
      <c r="W2" s="1"/>
    </row>
    <row r="3" spans="1:24" s="8" customFormat="1" ht="18">
      <c r="A3" s="27"/>
      <c r="B3" s="28"/>
      <c r="C3" s="148" t="s">
        <v>125</v>
      </c>
      <c r="D3" s="148"/>
      <c r="E3" s="148"/>
      <c r="F3" s="148"/>
      <c r="G3" s="149"/>
      <c r="W3" s="154" t="s">
        <v>117</v>
      </c>
      <c r="X3" s="13"/>
    </row>
    <row r="4" ht="13.5" thickBot="1">
      <c r="W4" s="4" t="s">
        <v>45</v>
      </c>
    </row>
    <row r="5" spans="1:23" s="22" customFormat="1" ht="21.75" customHeight="1" thickBot="1">
      <c r="A5" s="20" t="s">
        <v>0</v>
      </c>
      <c r="B5" s="21" t="s">
        <v>1</v>
      </c>
      <c r="C5" s="35" t="s">
        <v>2</v>
      </c>
      <c r="D5" s="36" t="s">
        <v>48</v>
      </c>
      <c r="E5" s="37" t="s">
        <v>49</v>
      </c>
      <c r="F5" s="38" t="s">
        <v>50</v>
      </c>
      <c r="G5" s="39" t="s">
        <v>51</v>
      </c>
      <c r="H5" s="37" t="s">
        <v>3</v>
      </c>
      <c r="I5" s="37" t="s">
        <v>4</v>
      </c>
      <c r="J5" s="37" t="s">
        <v>5</v>
      </c>
      <c r="K5" s="37" t="s">
        <v>6</v>
      </c>
      <c r="L5" s="37" t="s">
        <v>7</v>
      </c>
      <c r="M5" s="37" t="s">
        <v>8</v>
      </c>
      <c r="N5" s="37" t="s">
        <v>9</v>
      </c>
      <c r="O5" s="39" t="s">
        <v>10</v>
      </c>
      <c r="P5" s="35" t="s">
        <v>11</v>
      </c>
      <c r="Q5" s="35" t="s">
        <v>107</v>
      </c>
      <c r="R5" s="35" t="s">
        <v>108</v>
      </c>
      <c r="S5" s="35" t="s">
        <v>109</v>
      </c>
      <c r="T5" s="35" t="s">
        <v>110</v>
      </c>
      <c r="U5" s="35" t="s">
        <v>111</v>
      </c>
      <c r="V5" s="35" t="s">
        <v>112</v>
      </c>
      <c r="W5" s="35" t="s">
        <v>113</v>
      </c>
    </row>
    <row r="6" spans="1:23" ht="16.5">
      <c r="A6" s="5">
        <v>1</v>
      </c>
      <c r="B6" s="29" t="s">
        <v>12</v>
      </c>
      <c r="C6" s="40" t="s">
        <v>13</v>
      </c>
      <c r="D6" s="41">
        <f>D7+D12</f>
        <v>82096104</v>
      </c>
      <c r="E6" s="41">
        <f>E7+E12</f>
        <v>98745859</v>
      </c>
      <c r="F6" s="41">
        <f>F7+F12</f>
        <v>93181726</v>
      </c>
      <c r="G6" s="41">
        <f>G7+G12</f>
        <v>92038961</v>
      </c>
      <c r="H6" s="42">
        <f>+H7+H12</f>
        <v>102469367</v>
      </c>
      <c r="I6" s="43">
        <f aca="true" t="shared" si="0" ref="I6:W6">I7+I12</f>
        <v>96689473.715</v>
      </c>
      <c r="J6" s="43">
        <f t="shared" si="0"/>
        <v>98458487.39352499</v>
      </c>
      <c r="K6" s="43">
        <f t="shared" si="0"/>
        <v>98438950.35948485</v>
      </c>
      <c r="L6" s="43">
        <f t="shared" si="0"/>
        <v>100637089.4728847</v>
      </c>
      <c r="M6" s="43">
        <f t="shared" si="0"/>
        <v>103453154.5679656</v>
      </c>
      <c r="N6" s="43">
        <f t="shared" si="0"/>
        <v>104737399.07340261</v>
      </c>
      <c r="O6" s="43">
        <f t="shared" si="0"/>
        <v>106090080.06469034</v>
      </c>
      <c r="P6" s="43">
        <f t="shared" si="0"/>
        <v>105461458.31729925</v>
      </c>
      <c r="Q6" s="43">
        <f t="shared" si="0"/>
        <v>106801798.36061369</v>
      </c>
      <c r="R6" s="43">
        <f t="shared" si="0"/>
        <v>107931368.53266338</v>
      </c>
      <c r="S6" s="43">
        <f t="shared" si="0"/>
        <v>109340441.03566022</v>
      </c>
      <c r="T6" s="43">
        <f t="shared" si="0"/>
        <v>111074291.9923521</v>
      </c>
      <c r="U6" s="43">
        <f t="shared" si="0"/>
        <v>113008201.50320591</v>
      </c>
      <c r="V6" s="43">
        <f t="shared" si="0"/>
        <v>114797453.70443222</v>
      </c>
      <c r="W6" s="43">
        <f t="shared" si="0"/>
        <v>114957336.82686372</v>
      </c>
    </row>
    <row r="7" spans="1:23" ht="16.5">
      <c r="A7" s="6" t="s">
        <v>14</v>
      </c>
      <c r="B7" s="2"/>
      <c r="C7" s="44" t="s">
        <v>119</v>
      </c>
      <c r="D7" s="45">
        <v>74645533</v>
      </c>
      <c r="E7" s="45">
        <v>80930906</v>
      </c>
      <c r="F7" s="45">
        <v>86779292</v>
      </c>
      <c r="G7" s="45">
        <v>86698812</v>
      </c>
      <c r="H7" s="46">
        <v>90663891</v>
      </c>
      <c r="I7" s="47">
        <f>I8+I9+I10+I11</f>
        <v>93069885.715</v>
      </c>
      <c r="J7" s="47">
        <f aca="true" t="shared" si="1" ref="J7:W7">J8+J9+J10+J11</f>
        <v>95569511.39352499</v>
      </c>
      <c r="K7" s="47">
        <f t="shared" si="1"/>
        <v>96849974.35948485</v>
      </c>
      <c r="L7" s="47">
        <f t="shared" si="1"/>
        <v>98148113.4728847</v>
      </c>
      <c r="M7" s="47">
        <f t="shared" si="1"/>
        <v>99464178.5679656</v>
      </c>
      <c r="N7" s="47">
        <f t="shared" si="1"/>
        <v>100798423.07340261</v>
      </c>
      <c r="O7" s="47">
        <f t="shared" si="1"/>
        <v>102151104.06469034</v>
      </c>
      <c r="P7" s="47">
        <f t="shared" si="1"/>
        <v>103522482.31729925</v>
      </c>
      <c r="Q7" s="47">
        <f t="shared" si="1"/>
        <v>104912822.36061369</v>
      </c>
      <c r="R7" s="47">
        <f t="shared" si="1"/>
        <v>106322392.53266338</v>
      </c>
      <c r="S7" s="47">
        <f t="shared" si="1"/>
        <v>107751465.03566022</v>
      </c>
      <c r="T7" s="47">
        <f t="shared" si="1"/>
        <v>109200315.9923521</v>
      </c>
      <c r="U7" s="47">
        <f t="shared" si="1"/>
        <v>110669225.50320591</v>
      </c>
      <c r="V7" s="47">
        <f t="shared" si="1"/>
        <v>112158477.70443222</v>
      </c>
      <c r="W7" s="47">
        <f t="shared" si="1"/>
        <v>113668360.82686372</v>
      </c>
    </row>
    <row r="8" spans="1:23" ht="33">
      <c r="A8" s="6" t="s">
        <v>52</v>
      </c>
      <c r="B8" s="2"/>
      <c r="C8" s="48" t="s">
        <v>121</v>
      </c>
      <c r="D8" s="49">
        <f>D7-D9-D10-D11</f>
        <v>43933397</v>
      </c>
      <c r="E8" s="49">
        <f>E7-E9-E10-E11</f>
        <v>46124633</v>
      </c>
      <c r="F8" s="49">
        <f>F7-F9-F10-F11</f>
        <v>55894871</v>
      </c>
      <c r="G8" s="49">
        <f>G7-G9-G10-G11</f>
        <v>55763252</v>
      </c>
      <c r="H8" s="49">
        <v>60634853</v>
      </c>
      <c r="I8" s="49">
        <f>H8*1.035</f>
        <v>62757072.855</v>
      </c>
      <c r="J8" s="49">
        <f>I8*1.035</f>
        <v>64953570.40492499</v>
      </c>
      <c r="K8" s="49">
        <f>J8*1.015</f>
        <v>65927873.960998856</v>
      </c>
      <c r="L8" s="49">
        <f aca="true" t="shared" si="2" ref="L8:W8">K8*1.015</f>
        <v>66916792.070413835</v>
      </c>
      <c r="M8" s="49">
        <f t="shared" si="2"/>
        <v>67920543.95147003</v>
      </c>
      <c r="N8" s="49">
        <f t="shared" si="2"/>
        <v>68939352.11074208</v>
      </c>
      <c r="O8" s="49">
        <f t="shared" si="2"/>
        <v>69973442.3924032</v>
      </c>
      <c r="P8" s="49">
        <f t="shared" si="2"/>
        <v>71023044.02828924</v>
      </c>
      <c r="Q8" s="49">
        <f t="shared" si="2"/>
        <v>72088389.68871358</v>
      </c>
      <c r="R8" s="49">
        <f t="shared" si="2"/>
        <v>73169715.53404428</v>
      </c>
      <c r="S8" s="49">
        <f t="shared" si="2"/>
        <v>74267261.26705493</v>
      </c>
      <c r="T8" s="49">
        <f t="shared" si="2"/>
        <v>75381270.18606074</v>
      </c>
      <c r="U8" s="49">
        <f t="shared" si="2"/>
        <v>76511989.23885165</v>
      </c>
      <c r="V8" s="49">
        <f t="shared" si="2"/>
        <v>77659669.07743442</v>
      </c>
      <c r="W8" s="49">
        <f t="shared" si="2"/>
        <v>78824564.11359593</v>
      </c>
    </row>
    <row r="9" spans="1:23" ht="16.5">
      <c r="A9" s="6" t="s">
        <v>129</v>
      </c>
      <c r="B9" s="2"/>
      <c r="C9" s="48" t="s">
        <v>120</v>
      </c>
      <c r="D9" s="49">
        <v>19980118</v>
      </c>
      <c r="E9" s="49">
        <v>19976680</v>
      </c>
      <c r="F9" s="49">
        <v>19601322</v>
      </c>
      <c r="G9" s="49">
        <v>19601322</v>
      </c>
      <c r="H9" s="50">
        <v>20092158</v>
      </c>
      <c r="I9" s="51">
        <f>H9*1.01</f>
        <v>20293079.580000002</v>
      </c>
      <c r="J9" s="51">
        <f aca="true" t="shared" si="3" ref="J9:W9">I9*1.01</f>
        <v>20496010.375800002</v>
      </c>
      <c r="K9" s="51">
        <f t="shared" si="3"/>
        <v>20700970.479558002</v>
      </c>
      <c r="L9" s="51">
        <f t="shared" si="3"/>
        <v>20907980.184353583</v>
      </c>
      <c r="M9" s="51">
        <f t="shared" si="3"/>
        <v>21117059.986197118</v>
      </c>
      <c r="N9" s="51">
        <f t="shared" si="3"/>
        <v>21328230.58605909</v>
      </c>
      <c r="O9" s="51">
        <f t="shared" si="3"/>
        <v>21541512.89191968</v>
      </c>
      <c r="P9" s="51">
        <f t="shared" si="3"/>
        <v>21756928.020838875</v>
      </c>
      <c r="Q9" s="51">
        <f t="shared" si="3"/>
        <v>21974497.301047266</v>
      </c>
      <c r="R9" s="51">
        <f t="shared" si="3"/>
        <v>22194242.27405774</v>
      </c>
      <c r="S9" s="51">
        <f t="shared" si="3"/>
        <v>22416184.696798317</v>
      </c>
      <c r="T9" s="51">
        <f t="shared" si="3"/>
        <v>22640346.5437663</v>
      </c>
      <c r="U9" s="51">
        <f t="shared" si="3"/>
        <v>22866750.009203963</v>
      </c>
      <c r="V9" s="51">
        <f t="shared" si="3"/>
        <v>23095417.509296004</v>
      </c>
      <c r="W9" s="51">
        <f t="shared" si="3"/>
        <v>23326371.684388965</v>
      </c>
    </row>
    <row r="10" spans="1:23" s="16" customFormat="1" ht="16.5">
      <c r="A10" s="14" t="s">
        <v>130</v>
      </c>
      <c r="B10" s="15"/>
      <c r="C10" s="52" t="s">
        <v>122</v>
      </c>
      <c r="D10" s="53">
        <v>524976</v>
      </c>
      <c r="E10" s="54">
        <v>450207</v>
      </c>
      <c r="F10" s="53">
        <v>795087</v>
      </c>
      <c r="G10" s="53">
        <v>802488</v>
      </c>
      <c r="H10" s="55">
        <v>16352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7">
        <v>0</v>
      </c>
    </row>
    <row r="11" spans="1:23" s="16" customFormat="1" ht="16.5">
      <c r="A11" s="14" t="s">
        <v>131</v>
      </c>
      <c r="B11" s="15"/>
      <c r="C11" s="48" t="s">
        <v>123</v>
      </c>
      <c r="D11" s="49">
        <v>10207042</v>
      </c>
      <c r="E11" s="54">
        <v>14379386</v>
      </c>
      <c r="F11" s="53">
        <v>10488012</v>
      </c>
      <c r="G11" s="53">
        <v>10531750</v>
      </c>
      <c r="H11" s="55">
        <v>9920528</v>
      </c>
      <c r="I11" s="56">
        <f>H11*1.01</f>
        <v>10019733.28</v>
      </c>
      <c r="J11" s="56">
        <f aca="true" t="shared" si="4" ref="J11:W11">I11*1.01</f>
        <v>10119930.6128</v>
      </c>
      <c r="K11" s="56">
        <f t="shared" si="4"/>
        <v>10221129.918928001</v>
      </c>
      <c r="L11" s="56">
        <f t="shared" si="4"/>
        <v>10323341.218117282</v>
      </c>
      <c r="M11" s="56">
        <f t="shared" si="4"/>
        <v>10426574.630298454</v>
      </c>
      <c r="N11" s="56">
        <f t="shared" si="4"/>
        <v>10530840.376601439</v>
      </c>
      <c r="O11" s="56">
        <f t="shared" si="4"/>
        <v>10636148.780367453</v>
      </c>
      <c r="P11" s="56">
        <f t="shared" si="4"/>
        <v>10742510.268171128</v>
      </c>
      <c r="Q11" s="56">
        <f t="shared" si="4"/>
        <v>10849935.37085284</v>
      </c>
      <c r="R11" s="56">
        <f t="shared" si="4"/>
        <v>10958434.724561367</v>
      </c>
      <c r="S11" s="56">
        <f t="shared" si="4"/>
        <v>11068019.07180698</v>
      </c>
      <c r="T11" s="56">
        <f t="shared" si="4"/>
        <v>11178699.26252505</v>
      </c>
      <c r="U11" s="56">
        <f t="shared" si="4"/>
        <v>11290486.255150301</v>
      </c>
      <c r="V11" s="56">
        <f t="shared" si="4"/>
        <v>11403391.117701804</v>
      </c>
      <c r="W11" s="56">
        <f t="shared" si="4"/>
        <v>11517425.028878823</v>
      </c>
    </row>
    <row r="12" spans="1:23" s="16" customFormat="1" ht="16.5">
      <c r="A12" s="14" t="s">
        <v>145</v>
      </c>
      <c r="B12" s="15"/>
      <c r="C12" s="58" t="s">
        <v>124</v>
      </c>
      <c r="D12" s="59">
        <v>7450571</v>
      </c>
      <c r="E12" s="59">
        <v>17814953</v>
      </c>
      <c r="F12" s="59">
        <v>6402434</v>
      </c>
      <c r="G12" s="59">
        <v>5340149</v>
      </c>
      <c r="H12" s="60">
        <f>H13+H14+H15+H16</f>
        <v>11805476</v>
      </c>
      <c r="I12" s="61">
        <f>I13+I14+I15+I16</f>
        <v>3619588</v>
      </c>
      <c r="J12" s="61">
        <f aca="true" t="shared" si="5" ref="J12:W12">J13+J14</f>
        <v>2888976</v>
      </c>
      <c r="K12" s="61">
        <f t="shared" si="5"/>
        <v>1588976</v>
      </c>
      <c r="L12" s="61">
        <f t="shared" si="5"/>
        <v>2488976</v>
      </c>
      <c r="M12" s="61">
        <f t="shared" si="5"/>
        <v>3988976</v>
      </c>
      <c r="N12" s="61">
        <f t="shared" si="5"/>
        <v>3938976</v>
      </c>
      <c r="O12" s="61">
        <f t="shared" si="5"/>
        <v>3938976</v>
      </c>
      <c r="P12" s="61">
        <f t="shared" si="5"/>
        <v>1938976</v>
      </c>
      <c r="Q12" s="61">
        <f t="shared" si="5"/>
        <v>1888976</v>
      </c>
      <c r="R12" s="61">
        <f t="shared" si="5"/>
        <v>1608976</v>
      </c>
      <c r="S12" s="61">
        <f t="shared" si="5"/>
        <v>1588976</v>
      </c>
      <c r="T12" s="61">
        <f t="shared" si="5"/>
        <v>1873976</v>
      </c>
      <c r="U12" s="61">
        <f t="shared" si="5"/>
        <v>2338976</v>
      </c>
      <c r="V12" s="61">
        <f t="shared" si="5"/>
        <v>2638976</v>
      </c>
      <c r="W12" s="61">
        <f t="shared" si="5"/>
        <v>1288976</v>
      </c>
    </row>
    <row r="13" spans="1:23" s="16" customFormat="1" ht="16.5">
      <c r="A13" s="14" t="s">
        <v>132</v>
      </c>
      <c r="B13" s="15"/>
      <c r="C13" s="62" t="s">
        <v>53</v>
      </c>
      <c r="D13" s="54">
        <v>4514238</v>
      </c>
      <c r="E13" s="54">
        <v>5966578</v>
      </c>
      <c r="F13" s="54">
        <v>3002385</v>
      </c>
      <c r="G13" s="54">
        <v>2702437</v>
      </c>
      <c r="H13" s="63">
        <v>2983937</v>
      </c>
      <c r="I13" s="64">
        <v>3090000</v>
      </c>
      <c r="J13" s="64">
        <v>2850000</v>
      </c>
      <c r="K13" s="64">
        <v>1550000</v>
      </c>
      <c r="L13" s="64">
        <v>2450000</v>
      </c>
      <c r="M13" s="64">
        <v>3950000</v>
      </c>
      <c r="N13" s="64">
        <v>3900000</v>
      </c>
      <c r="O13" s="64">
        <v>3900000</v>
      </c>
      <c r="P13" s="65">
        <v>1900000</v>
      </c>
      <c r="Q13" s="65">
        <v>1850000</v>
      </c>
      <c r="R13" s="65">
        <v>1570000</v>
      </c>
      <c r="S13" s="65">
        <v>1550000</v>
      </c>
      <c r="T13" s="65">
        <v>1835000</v>
      </c>
      <c r="U13" s="65">
        <v>2300000</v>
      </c>
      <c r="V13" s="65">
        <v>2600000</v>
      </c>
      <c r="W13" s="64">
        <v>1250000</v>
      </c>
    </row>
    <row r="14" spans="1:23" s="16" customFormat="1" ht="46.5" customHeight="1">
      <c r="A14" s="14" t="s">
        <v>133</v>
      </c>
      <c r="B14" s="24"/>
      <c r="C14" s="66" t="s">
        <v>114</v>
      </c>
      <c r="D14" s="67">
        <v>38922</v>
      </c>
      <c r="E14" s="54">
        <v>38304</v>
      </c>
      <c r="F14" s="54">
        <v>34653</v>
      </c>
      <c r="G14" s="54">
        <v>38932</v>
      </c>
      <c r="H14" s="63">
        <v>38976</v>
      </c>
      <c r="I14" s="63">
        <v>38976</v>
      </c>
      <c r="J14" s="63">
        <v>38976</v>
      </c>
      <c r="K14" s="63">
        <v>38976</v>
      </c>
      <c r="L14" s="63">
        <v>38976</v>
      </c>
      <c r="M14" s="63">
        <v>38976</v>
      </c>
      <c r="N14" s="63">
        <v>38976</v>
      </c>
      <c r="O14" s="63">
        <v>38976</v>
      </c>
      <c r="P14" s="63">
        <v>38976</v>
      </c>
      <c r="Q14" s="63">
        <v>38976</v>
      </c>
      <c r="R14" s="63">
        <v>38976</v>
      </c>
      <c r="S14" s="63">
        <v>38976</v>
      </c>
      <c r="T14" s="63">
        <v>38976</v>
      </c>
      <c r="U14" s="63">
        <v>38976</v>
      </c>
      <c r="V14" s="63">
        <v>38976</v>
      </c>
      <c r="W14" s="63">
        <v>38976</v>
      </c>
    </row>
    <row r="15" spans="1:23" s="16" customFormat="1" ht="16.5">
      <c r="A15" s="14" t="s">
        <v>134</v>
      </c>
      <c r="B15" s="24"/>
      <c r="C15" s="68" t="s">
        <v>118</v>
      </c>
      <c r="D15" s="53">
        <v>450322</v>
      </c>
      <c r="E15" s="54">
        <v>11391505</v>
      </c>
      <c r="F15" s="53">
        <v>3005446</v>
      </c>
      <c r="G15" s="54">
        <v>2239815</v>
      </c>
      <c r="H15" s="63">
        <v>5156505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7">
        <v>0</v>
      </c>
    </row>
    <row r="16" spans="1:23" s="16" customFormat="1" ht="16.5">
      <c r="A16" s="25" t="s">
        <v>135</v>
      </c>
      <c r="B16" s="24"/>
      <c r="C16" s="62" t="s">
        <v>123</v>
      </c>
      <c r="D16" s="69">
        <v>1916341</v>
      </c>
      <c r="E16" s="54">
        <v>417995</v>
      </c>
      <c r="F16" s="53">
        <v>358965</v>
      </c>
      <c r="G16" s="53">
        <v>358965</v>
      </c>
      <c r="H16" s="63">
        <v>3626058</v>
      </c>
      <c r="I16" s="56">
        <v>490612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</row>
    <row r="17" spans="1:23" s="16" customFormat="1" ht="16.5">
      <c r="A17" s="30">
        <v>2</v>
      </c>
      <c r="B17" s="31"/>
      <c r="C17" s="70" t="s">
        <v>105</v>
      </c>
      <c r="D17" s="71">
        <f aca="true" t="shared" si="6" ref="D17:I17">D18+D39</f>
        <v>86616093</v>
      </c>
      <c r="E17" s="41">
        <f t="shared" si="6"/>
        <v>119332654</v>
      </c>
      <c r="F17" s="41">
        <f>F18+F39</f>
        <v>98830628</v>
      </c>
      <c r="G17" s="41">
        <f t="shared" si="6"/>
        <v>93335083</v>
      </c>
      <c r="H17" s="41">
        <f t="shared" si="6"/>
        <v>106095617</v>
      </c>
      <c r="I17" s="72">
        <f t="shared" si="6"/>
        <v>92713902.99</v>
      </c>
      <c r="J17" s="72">
        <f aca="true" t="shared" si="7" ref="J17:W17">J18+J39</f>
        <v>93127189.08701</v>
      </c>
      <c r="K17" s="72">
        <f t="shared" si="7"/>
        <v>94926596.92331514</v>
      </c>
      <c r="L17" s="72">
        <f t="shared" si="7"/>
        <v>97245495.87716486</v>
      </c>
      <c r="M17" s="72">
        <f t="shared" si="7"/>
        <v>98584178.31532232</v>
      </c>
      <c r="N17" s="72">
        <f t="shared" si="7"/>
        <v>99942940.99005215</v>
      </c>
      <c r="O17" s="72">
        <f t="shared" si="7"/>
        <v>101322085.10490292</v>
      </c>
      <c r="P17" s="72">
        <f t="shared" si="7"/>
        <v>102721916.38147646</v>
      </c>
      <c r="Q17" s="72">
        <f t="shared" si="7"/>
        <v>104142745.1271986</v>
      </c>
      <c r="R17" s="72">
        <f t="shared" si="7"/>
        <v>105584886.30410658</v>
      </c>
      <c r="S17" s="72">
        <f t="shared" si="7"/>
        <v>107048659.59866817</v>
      </c>
      <c r="T17" s="72">
        <f t="shared" si="7"/>
        <v>108534389.49264818</v>
      </c>
      <c r="U17" s="72">
        <f t="shared" si="7"/>
        <v>111042405.3350379</v>
      </c>
      <c r="V17" s="72">
        <f t="shared" si="7"/>
        <v>112573041.41506346</v>
      </c>
      <c r="W17" s="72">
        <f t="shared" si="7"/>
        <v>114126637.0362894</v>
      </c>
    </row>
    <row r="18" spans="1:23" s="16" customFormat="1" ht="16.5">
      <c r="A18" s="25" t="s">
        <v>16</v>
      </c>
      <c r="B18" s="26"/>
      <c r="C18" s="147" t="s">
        <v>106</v>
      </c>
      <c r="D18" s="97">
        <v>73464195</v>
      </c>
      <c r="E18" s="45">
        <v>81592772</v>
      </c>
      <c r="F18" s="45">
        <v>87881290</v>
      </c>
      <c r="G18" s="45">
        <v>86061379</v>
      </c>
      <c r="H18" s="46">
        <v>87589801</v>
      </c>
      <c r="I18" s="61">
        <f>H18*0.99</f>
        <v>86713902.99</v>
      </c>
      <c r="J18" s="61">
        <f>I18*0.999</f>
        <v>86627189.08701</v>
      </c>
      <c r="K18" s="61">
        <f>J18*1.015</f>
        <v>87926596.92331514</v>
      </c>
      <c r="L18" s="61">
        <f aca="true" t="shared" si="8" ref="L18:W18">K18*1.015</f>
        <v>89245495.87716486</v>
      </c>
      <c r="M18" s="61">
        <f t="shared" si="8"/>
        <v>90584178.31532232</v>
      </c>
      <c r="N18" s="61">
        <f t="shared" si="8"/>
        <v>91942940.99005215</v>
      </c>
      <c r="O18" s="61">
        <f t="shared" si="8"/>
        <v>93322085.10490292</v>
      </c>
      <c r="P18" s="61">
        <f t="shared" si="8"/>
        <v>94721916.38147646</v>
      </c>
      <c r="Q18" s="61">
        <f t="shared" si="8"/>
        <v>96142745.1271986</v>
      </c>
      <c r="R18" s="61">
        <f t="shared" si="8"/>
        <v>97584886.30410658</v>
      </c>
      <c r="S18" s="61">
        <f t="shared" si="8"/>
        <v>99048659.59866817</v>
      </c>
      <c r="T18" s="61">
        <f t="shared" si="8"/>
        <v>100534389.49264818</v>
      </c>
      <c r="U18" s="61">
        <f t="shared" si="8"/>
        <v>102042405.3350379</v>
      </c>
      <c r="V18" s="61">
        <f t="shared" si="8"/>
        <v>103573041.41506346</v>
      </c>
      <c r="W18" s="61">
        <f t="shared" si="8"/>
        <v>105126637.0362894</v>
      </c>
    </row>
    <row r="19" spans="1:23" s="16" customFormat="1" ht="66">
      <c r="A19" s="32" t="s">
        <v>128</v>
      </c>
      <c r="B19" s="33"/>
      <c r="C19" s="75" t="s">
        <v>15</v>
      </c>
      <c r="D19" s="76">
        <f aca="true" t="shared" si="9" ref="D19:J19">D18-D35</f>
        <v>73052290</v>
      </c>
      <c r="E19" s="76">
        <f t="shared" si="9"/>
        <v>80800320</v>
      </c>
      <c r="F19" s="76">
        <f>F18-F35</f>
        <v>86381290</v>
      </c>
      <c r="G19" s="76">
        <f t="shared" si="9"/>
        <v>84340179</v>
      </c>
      <c r="H19" s="76">
        <f t="shared" si="9"/>
        <v>85689801</v>
      </c>
      <c r="I19" s="77">
        <f t="shared" si="9"/>
        <v>84859935.99</v>
      </c>
      <c r="J19" s="77">
        <f t="shared" si="9"/>
        <v>84951791.08701</v>
      </c>
      <c r="K19" s="77">
        <f aca="true" t="shared" si="10" ref="K19:V19">K18-K35</f>
        <v>86451879.92331514</v>
      </c>
      <c r="L19" s="77">
        <f t="shared" si="10"/>
        <v>87922325.87716486</v>
      </c>
      <c r="M19" s="77">
        <f t="shared" si="10"/>
        <v>89401848.31532232</v>
      </c>
      <c r="N19" s="77">
        <f t="shared" si="10"/>
        <v>90924940.99005215</v>
      </c>
      <c r="O19" s="77">
        <f t="shared" si="10"/>
        <v>92451025.10490292</v>
      </c>
      <c r="P19" s="77">
        <f t="shared" si="10"/>
        <v>93997096.38147646</v>
      </c>
      <c r="Q19" s="77">
        <f t="shared" si="10"/>
        <v>95569565.1271986</v>
      </c>
      <c r="R19" s="77">
        <f t="shared" si="10"/>
        <v>97156496.30410658</v>
      </c>
      <c r="S19" s="77">
        <f t="shared" si="10"/>
        <v>98760479.59866817</v>
      </c>
      <c r="T19" s="77">
        <f t="shared" si="10"/>
        <v>100387639.49264818</v>
      </c>
      <c r="U19" s="77">
        <f t="shared" si="10"/>
        <v>101988255.3350379</v>
      </c>
      <c r="V19" s="77">
        <f t="shared" si="10"/>
        <v>103550021.41506346</v>
      </c>
      <c r="W19" s="77">
        <f>W18-W35</f>
        <v>105126637.0362894</v>
      </c>
    </row>
    <row r="20" spans="1:23" s="16" customFormat="1" ht="33" customHeight="1">
      <c r="A20" s="14" t="s">
        <v>136</v>
      </c>
      <c r="B20" s="15"/>
      <c r="C20" s="52" t="s">
        <v>46</v>
      </c>
      <c r="D20" s="78">
        <v>27546170</v>
      </c>
      <c r="E20" s="51">
        <v>36672139</v>
      </c>
      <c r="F20" s="56">
        <v>39094237</v>
      </c>
      <c r="G20" s="79">
        <v>38423834</v>
      </c>
      <c r="H20" s="51">
        <v>39958993</v>
      </c>
      <c r="I20" s="56">
        <f>H20*1.02</f>
        <v>40758172.86</v>
      </c>
      <c r="J20" s="56">
        <f aca="true" t="shared" si="11" ref="J20:W20">I20*1.02</f>
        <v>41573336.3172</v>
      </c>
      <c r="K20" s="56">
        <f t="shared" si="11"/>
        <v>42404803.043544</v>
      </c>
      <c r="L20" s="56">
        <f t="shared" si="11"/>
        <v>43252899.10441488</v>
      </c>
      <c r="M20" s="56">
        <f t="shared" si="11"/>
        <v>44117957.08650318</v>
      </c>
      <c r="N20" s="56">
        <f t="shared" si="11"/>
        <v>45000316.22823324</v>
      </c>
      <c r="O20" s="56">
        <f t="shared" si="11"/>
        <v>45900322.552797906</v>
      </c>
      <c r="P20" s="56">
        <f t="shared" si="11"/>
        <v>46818329.003853865</v>
      </c>
      <c r="Q20" s="56">
        <f t="shared" si="11"/>
        <v>47754695.58393094</v>
      </c>
      <c r="R20" s="56">
        <f t="shared" si="11"/>
        <v>48709789.49560956</v>
      </c>
      <c r="S20" s="56">
        <f t="shared" si="11"/>
        <v>49683985.28552175</v>
      </c>
      <c r="T20" s="56">
        <f t="shared" si="11"/>
        <v>50677664.99123219</v>
      </c>
      <c r="U20" s="56">
        <f t="shared" si="11"/>
        <v>51691218.291056834</v>
      </c>
      <c r="V20" s="56">
        <f t="shared" si="11"/>
        <v>52725042.65687797</v>
      </c>
      <c r="W20" s="56">
        <f t="shared" si="11"/>
        <v>53779543.51001553</v>
      </c>
    </row>
    <row r="21" spans="1:23" s="16" customFormat="1" ht="35.25" customHeight="1">
      <c r="A21" s="14" t="s">
        <v>137</v>
      </c>
      <c r="B21" s="23" t="s">
        <v>115</v>
      </c>
      <c r="C21" s="80" t="s">
        <v>54</v>
      </c>
      <c r="D21" s="78">
        <v>1830667</v>
      </c>
      <c r="E21" s="51">
        <v>1850199</v>
      </c>
      <c r="F21" s="56">
        <v>1974213</v>
      </c>
      <c r="G21" s="79">
        <v>1888013</v>
      </c>
      <c r="H21" s="51">
        <v>1792338</v>
      </c>
      <c r="I21" s="56">
        <f>H21*1.01</f>
        <v>1810261.3800000001</v>
      </c>
      <c r="J21" s="56">
        <f aca="true" t="shared" si="12" ref="J21:W21">I21*1.01</f>
        <v>1828363.9938</v>
      </c>
      <c r="K21" s="56">
        <f t="shared" si="12"/>
        <v>1846647.6337380002</v>
      </c>
      <c r="L21" s="56">
        <f t="shared" si="12"/>
        <v>1865114.1100753802</v>
      </c>
      <c r="M21" s="56">
        <f t="shared" si="12"/>
        <v>1883765.251176134</v>
      </c>
      <c r="N21" s="56">
        <f t="shared" si="12"/>
        <v>1902602.9036878953</v>
      </c>
      <c r="O21" s="56">
        <f t="shared" si="12"/>
        <v>1921628.9327247743</v>
      </c>
      <c r="P21" s="56">
        <f t="shared" si="12"/>
        <v>1940845.222052022</v>
      </c>
      <c r="Q21" s="56">
        <f t="shared" si="12"/>
        <v>1960253.6742725424</v>
      </c>
      <c r="R21" s="56">
        <f t="shared" si="12"/>
        <v>1979856.2110152678</v>
      </c>
      <c r="S21" s="56">
        <f t="shared" si="12"/>
        <v>1999654.7731254206</v>
      </c>
      <c r="T21" s="56">
        <f t="shared" si="12"/>
        <v>2019651.3208566748</v>
      </c>
      <c r="U21" s="56">
        <f t="shared" si="12"/>
        <v>2039847.8340652415</v>
      </c>
      <c r="V21" s="56">
        <f t="shared" si="12"/>
        <v>2060246.312405894</v>
      </c>
      <c r="W21" s="56">
        <f t="shared" si="12"/>
        <v>2080848.775529953</v>
      </c>
    </row>
    <row r="22" spans="1:23" s="16" customFormat="1" ht="17.25" customHeight="1">
      <c r="A22" s="14" t="s">
        <v>138</v>
      </c>
      <c r="B22" s="15"/>
      <c r="C22" s="52" t="s">
        <v>17</v>
      </c>
      <c r="D22" s="82">
        <v>0</v>
      </c>
      <c r="E22" s="56">
        <v>0</v>
      </c>
      <c r="F22" s="56">
        <v>436200</v>
      </c>
      <c r="G22" s="83">
        <v>0</v>
      </c>
      <c r="H22" s="56">
        <v>436200</v>
      </c>
      <c r="I22" s="56">
        <v>436200</v>
      </c>
      <c r="J22" s="56">
        <v>436200</v>
      </c>
      <c r="K22" s="56">
        <v>436200</v>
      </c>
      <c r="L22" s="56">
        <v>436200</v>
      </c>
      <c r="M22" s="56">
        <v>436200</v>
      </c>
      <c r="N22" s="56">
        <v>436200</v>
      </c>
      <c r="O22" s="56">
        <v>436200</v>
      </c>
      <c r="P22" s="56">
        <v>436200</v>
      </c>
      <c r="Q22" s="56">
        <v>436200</v>
      </c>
      <c r="R22" s="56">
        <v>436200</v>
      </c>
      <c r="S22" s="56">
        <v>436200</v>
      </c>
      <c r="T22" s="56">
        <v>436200</v>
      </c>
      <c r="U22" s="56">
        <v>436200</v>
      </c>
      <c r="V22" s="56">
        <v>436200</v>
      </c>
      <c r="W22" s="56">
        <v>436200</v>
      </c>
    </row>
    <row r="23" spans="1:23" s="16" customFormat="1" ht="51" customHeight="1">
      <c r="A23" s="14" t="s">
        <v>139</v>
      </c>
      <c r="B23" s="15"/>
      <c r="C23" s="52" t="s">
        <v>116</v>
      </c>
      <c r="D23" s="82">
        <v>0</v>
      </c>
      <c r="E23" s="56">
        <v>0</v>
      </c>
      <c r="F23" s="56">
        <v>0</v>
      </c>
      <c r="G23" s="83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83"/>
      <c r="Q23" s="83"/>
      <c r="R23" s="83"/>
      <c r="S23" s="83"/>
      <c r="T23" s="83"/>
      <c r="U23" s="83"/>
      <c r="V23" s="83"/>
      <c r="W23" s="57">
        <v>0</v>
      </c>
    </row>
    <row r="24" spans="1:23" s="16" customFormat="1" ht="34.5" customHeight="1">
      <c r="A24" s="14" t="s">
        <v>140</v>
      </c>
      <c r="B24" s="15"/>
      <c r="C24" s="52" t="s">
        <v>18</v>
      </c>
      <c r="D24" s="82">
        <v>0</v>
      </c>
      <c r="E24" s="56">
        <v>0</v>
      </c>
      <c r="F24" s="56">
        <f>F22</f>
        <v>436200</v>
      </c>
      <c r="G24" s="83">
        <f>7506+G22</f>
        <v>7506</v>
      </c>
      <c r="H24" s="56">
        <f>520000+H22</f>
        <v>956200</v>
      </c>
      <c r="I24" s="56">
        <f>540000+I22</f>
        <v>976200</v>
      </c>
      <c r="J24" s="56">
        <f>560000+J22</f>
        <v>996200</v>
      </c>
      <c r="K24" s="56">
        <f>580000+K22</f>
        <v>1016200</v>
      </c>
      <c r="L24" s="56">
        <f>L22</f>
        <v>436200</v>
      </c>
      <c r="M24" s="56">
        <f aca="true" t="shared" si="13" ref="M24:W24">M22</f>
        <v>436200</v>
      </c>
      <c r="N24" s="56">
        <f t="shared" si="13"/>
        <v>436200</v>
      </c>
      <c r="O24" s="56">
        <f t="shared" si="13"/>
        <v>436200</v>
      </c>
      <c r="P24" s="56">
        <f t="shared" si="13"/>
        <v>436200</v>
      </c>
      <c r="Q24" s="56">
        <f t="shared" si="13"/>
        <v>436200</v>
      </c>
      <c r="R24" s="56">
        <f t="shared" si="13"/>
        <v>436200</v>
      </c>
      <c r="S24" s="56">
        <f t="shared" si="13"/>
        <v>436200</v>
      </c>
      <c r="T24" s="56">
        <f t="shared" si="13"/>
        <v>436200</v>
      </c>
      <c r="U24" s="56">
        <f t="shared" si="13"/>
        <v>436200</v>
      </c>
      <c r="V24" s="56">
        <f t="shared" si="13"/>
        <v>436200</v>
      </c>
      <c r="W24" s="56">
        <f t="shared" si="13"/>
        <v>436200</v>
      </c>
    </row>
    <row r="25" spans="1:23" s="16" customFormat="1" ht="48.75" customHeight="1">
      <c r="A25" s="14" t="s">
        <v>141</v>
      </c>
      <c r="B25" s="15"/>
      <c r="C25" s="52" t="s">
        <v>55</v>
      </c>
      <c r="D25" s="82">
        <v>499141</v>
      </c>
      <c r="E25" s="84">
        <v>493978</v>
      </c>
      <c r="F25" s="84">
        <v>849199</v>
      </c>
      <c r="G25" s="83">
        <v>433696</v>
      </c>
      <c r="H25" s="84">
        <v>36746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83"/>
      <c r="Q25" s="83"/>
      <c r="R25" s="83"/>
      <c r="S25" s="83"/>
      <c r="T25" s="83"/>
      <c r="U25" s="83"/>
      <c r="V25" s="83"/>
      <c r="W25" s="57">
        <v>0</v>
      </c>
    </row>
    <row r="26" spans="1:23" s="16" customFormat="1" ht="13.5" customHeight="1">
      <c r="A26" s="14">
        <v>3</v>
      </c>
      <c r="B26" s="15" t="s">
        <v>19</v>
      </c>
      <c r="C26" s="58" t="s">
        <v>142</v>
      </c>
      <c r="D26" s="81">
        <f aca="true" t="shared" si="14" ref="D26:W26">D6-D19</f>
        <v>9043814</v>
      </c>
      <c r="E26" s="85">
        <f t="shared" si="14"/>
        <v>17945539</v>
      </c>
      <c r="F26" s="85">
        <f t="shared" si="14"/>
        <v>6800436</v>
      </c>
      <c r="G26" s="86">
        <f t="shared" si="14"/>
        <v>7698782</v>
      </c>
      <c r="H26" s="61">
        <f t="shared" si="14"/>
        <v>16779566</v>
      </c>
      <c r="I26" s="85">
        <f t="shared" si="14"/>
        <v>11829537.725000009</v>
      </c>
      <c r="J26" s="85">
        <f t="shared" si="14"/>
        <v>13506696.306514993</v>
      </c>
      <c r="K26" s="85">
        <f t="shared" si="14"/>
        <v>11987070.436169714</v>
      </c>
      <c r="L26" s="85">
        <f t="shared" si="14"/>
        <v>12714763.595719844</v>
      </c>
      <c r="M26" s="85">
        <f t="shared" si="14"/>
        <v>14051306.252643272</v>
      </c>
      <c r="N26" s="85">
        <f t="shared" si="14"/>
        <v>13812458.083350465</v>
      </c>
      <c r="O26" s="85">
        <f t="shared" si="14"/>
        <v>13639054.959787413</v>
      </c>
      <c r="P26" s="85">
        <f t="shared" si="14"/>
        <v>11464361.935822785</v>
      </c>
      <c r="Q26" s="85">
        <f t="shared" si="14"/>
        <v>11232233.233415082</v>
      </c>
      <c r="R26" s="85">
        <f t="shared" si="14"/>
        <v>10774872.228556797</v>
      </c>
      <c r="S26" s="85">
        <f t="shared" si="14"/>
        <v>10579961.43699205</v>
      </c>
      <c r="T26" s="85">
        <f t="shared" si="14"/>
        <v>10686652.499703914</v>
      </c>
      <c r="U26" s="85">
        <f t="shared" si="14"/>
        <v>11019946.168168008</v>
      </c>
      <c r="V26" s="85">
        <f t="shared" si="14"/>
        <v>11247432.289368764</v>
      </c>
      <c r="W26" s="85">
        <f t="shared" si="14"/>
        <v>9830699.790574327</v>
      </c>
    </row>
    <row r="27" spans="1:23" s="16" customFormat="1" ht="64.5" customHeight="1">
      <c r="A27" s="14">
        <v>4</v>
      </c>
      <c r="B27" s="15"/>
      <c r="C27" s="52" t="s">
        <v>56</v>
      </c>
      <c r="D27" s="87">
        <v>4578349</v>
      </c>
      <c r="E27" s="87">
        <v>1317616</v>
      </c>
      <c r="F27" s="87">
        <v>1377616</v>
      </c>
      <c r="G27" s="87">
        <v>2142679</v>
      </c>
      <c r="H27" s="88">
        <v>754120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</row>
    <row r="28" spans="1:23" s="16" customFormat="1" ht="15.75" customHeight="1">
      <c r="A28" s="14" t="s">
        <v>20</v>
      </c>
      <c r="B28" s="15"/>
      <c r="C28" s="52" t="s">
        <v>57</v>
      </c>
      <c r="D28" s="78">
        <v>3001184</v>
      </c>
      <c r="E28" s="51">
        <v>0</v>
      </c>
      <c r="F28" s="56">
        <v>0</v>
      </c>
      <c r="G28" s="79">
        <v>0</v>
      </c>
      <c r="H28" s="50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</row>
    <row r="29" spans="1:23" s="16" customFormat="1" ht="33">
      <c r="A29" s="14">
        <v>5</v>
      </c>
      <c r="B29" s="15"/>
      <c r="C29" s="52" t="s">
        <v>21</v>
      </c>
      <c r="D29" s="78">
        <v>18805</v>
      </c>
      <c r="E29" s="51">
        <v>9559</v>
      </c>
      <c r="F29" s="56">
        <v>10000</v>
      </c>
      <c r="G29" s="79">
        <v>7277</v>
      </c>
      <c r="H29" s="51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</row>
    <row r="30" spans="1:23" s="16" customFormat="1" ht="15.75" customHeight="1">
      <c r="A30" s="14" t="s">
        <v>58</v>
      </c>
      <c r="B30" s="15"/>
      <c r="C30" s="52" t="s">
        <v>57</v>
      </c>
      <c r="D30" s="78">
        <v>18805</v>
      </c>
      <c r="E30" s="56">
        <v>0</v>
      </c>
      <c r="F30" s="56">
        <v>0</v>
      </c>
      <c r="G30" s="83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</row>
    <row r="31" spans="1:23" s="16" customFormat="1" ht="16.5">
      <c r="A31" s="14">
        <v>6</v>
      </c>
      <c r="B31" s="15" t="s">
        <v>22</v>
      </c>
      <c r="C31" s="58" t="s">
        <v>23</v>
      </c>
      <c r="D31" s="81">
        <f>D26+D27+D29</f>
        <v>13640968</v>
      </c>
      <c r="E31" s="85">
        <f aca="true" t="shared" si="15" ref="E31:W31">E26+E27+E29</f>
        <v>19272714</v>
      </c>
      <c r="F31" s="85">
        <f t="shared" si="15"/>
        <v>8188052</v>
      </c>
      <c r="G31" s="86">
        <f t="shared" si="15"/>
        <v>9848738</v>
      </c>
      <c r="H31" s="61">
        <f t="shared" si="15"/>
        <v>17533686</v>
      </c>
      <c r="I31" s="85">
        <f t="shared" si="15"/>
        <v>11829537.725000009</v>
      </c>
      <c r="J31" s="85">
        <f t="shared" si="15"/>
        <v>13506696.306514993</v>
      </c>
      <c r="K31" s="85">
        <f t="shared" si="15"/>
        <v>11987070.436169714</v>
      </c>
      <c r="L31" s="85">
        <f t="shared" si="15"/>
        <v>12714763.595719844</v>
      </c>
      <c r="M31" s="85">
        <f t="shared" si="15"/>
        <v>14051306.252643272</v>
      </c>
      <c r="N31" s="85">
        <f t="shared" si="15"/>
        <v>13812458.083350465</v>
      </c>
      <c r="O31" s="85">
        <f t="shared" si="15"/>
        <v>13639054.959787413</v>
      </c>
      <c r="P31" s="85">
        <f t="shared" si="15"/>
        <v>11464361.935822785</v>
      </c>
      <c r="Q31" s="85">
        <f t="shared" si="15"/>
        <v>11232233.233415082</v>
      </c>
      <c r="R31" s="85">
        <f t="shared" si="15"/>
        <v>10774872.228556797</v>
      </c>
      <c r="S31" s="85">
        <f t="shared" si="15"/>
        <v>10579961.43699205</v>
      </c>
      <c r="T31" s="85">
        <f t="shared" si="15"/>
        <v>10686652.499703914</v>
      </c>
      <c r="U31" s="85">
        <f t="shared" si="15"/>
        <v>11019946.168168008</v>
      </c>
      <c r="V31" s="85">
        <f t="shared" si="15"/>
        <v>11247432.289368764</v>
      </c>
      <c r="W31" s="85">
        <f t="shared" si="15"/>
        <v>9830699.790574327</v>
      </c>
    </row>
    <row r="32" spans="1:23" s="16" customFormat="1" ht="16.5">
      <c r="A32" s="32">
        <v>7</v>
      </c>
      <c r="B32" s="34" t="s">
        <v>24</v>
      </c>
      <c r="C32" s="89" t="s">
        <v>25</v>
      </c>
      <c r="D32" s="90">
        <f>D33+D35</f>
        <v>671909</v>
      </c>
      <c r="E32" s="91">
        <f aca="true" t="shared" si="16" ref="E32:W32">E33+E35</f>
        <v>2550194</v>
      </c>
      <c r="F32" s="91">
        <f t="shared" si="16"/>
        <v>3099714</v>
      </c>
      <c r="G32" s="92">
        <f t="shared" si="16"/>
        <v>3320914</v>
      </c>
      <c r="H32" s="93">
        <f t="shared" si="16"/>
        <v>6778470</v>
      </c>
      <c r="I32" s="91">
        <f t="shared" si="16"/>
        <v>5232437</v>
      </c>
      <c r="J32" s="91">
        <f t="shared" si="16"/>
        <v>5295668</v>
      </c>
      <c r="K32" s="91">
        <f t="shared" si="16"/>
        <v>3875587</v>
      </c>
      <c r="L32" s="91">
        <f t="shared" si="16"/>
        <v>3724040</v>
      </c>
      <c r="M32" s="91">
        <f t="shared" si="16"/>
        <v>3583200</v>
      </c>
      <c r="N32" s="91">
        <f t="shared" si="16"/>
        <v>3378870</v>
      </c>
      <c r="O32" s="91">
        <f t="shared" si="16"/>
        <v>3231930</v>
      </c>
      <c r="P32" s="91">
        <f t="shared" si="16"/>
        <v>3085690</v>
      </c>
      <c r="Q32" s="91">
        <f t="shared" si="16"/>
        <v>2934050</v>
      </c>
      <c r="R32" s="91">
        <f t="shared" si="16"/>
        <v>2569310</v>
      </c>
      <c r="S32" s="91">
        <f t="shared" si="16"/>
        <v>2429100</v>
      </c>
      <c r="T32" s="91">
        <f t="shared" si="16"/>
        <v>2287692</v>
      </c>
      <c r="U32" s="91">
        <f t="shared" si="16"/>
        <v>536550</v>
      </c>
      <c r="V32" s="91">
        <f t="shared" si="16"/>
        <v>505420</v>
      </c>
      <c r="W32" s="91">
        <f t="shared" si="16"/>
        <v>0</v>
      </c>
    </row>
    <row r="33" spans="1:23" s="16" customFormat="1" ht="34.5" customHeight="1">
      <c r="A33" s="14" t="s">
        <v>26</v>
      </c>
      <c r="B33" s="15"/>
      <c r="C33" s="52" t="s">
        <v>59</v>
      </c>
      <c r="D33" s="87">
        <v>260004</v>
      </c>
      <c r="E33" s="87">
        <v>1757742</v>
      </c>
      <c r="F33" s="87">
        <v>1599714</v>
      </c>
      <c r="G33" s="94">
        <v>1599714</v>
      </c>
      <c r="H33" s="95">
        <v>4878470</v>
      </c>
      <c r="I33" s="56">
        <v>3378470</v>
      </c>
      <c r="J33" s="56">
        <v>3620270</v>
      </c>
      <c r="K33" s="56">
        <v>2400870</v>
      </c>
      <c r="L33" s="56">
        <v>2400870</v>
      </c>
      <c r="M33" s="56">
        <v>2400870</v>
      </c>
      <c r="N33" s="56">
        <v>2360870</v>
      </c>
      <c r="O33" s="56">
        <v>2360870</v>
      </c>
      <c r="P33" s="56">
        <v>2360870</v>
      </c>
      <c r="Q33" s="56">
        <v>2360870</v>
      </c>
      <c r="R33" s="83">
        <v>2140920</v>
      </c>
      <c r="S33" s="83">
        <v>2140920</v>
      </c>
      <c r="T33" s="83">
        <v>2140942</v>
      </c>
      <c r="U33" s="83">
        <v>482400</v>
      </c>
      <c r="V33" s="57">
        <v>482400</v>
      </c>
      <c r="W33" s="57">
        <v>0</v>
      </c>
    </row>
    <row r="34" spans="1:23" s="16" customFormat="1" ht="47.25" customHeight="1">
      <c r="A34" s="14" t="s">
        <v>60</v>
      </c>
      <c r="B34" s="15"/>
      <c r="C34" s="62" t="s">
        <v>61</v>
      </c>
      <c r="D34" s="78">
        <v>0</v>
      </c>
      <c r="E34" s="51">
        <v>0</v>
      </c>
      <c r="F34" s="56">
        <v>0</v>
      </c>
      <c r="G34" s="79">
        <v>0</v>
      </c>
      <c r="H34" s="51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83"/>
      <c r="Q34" s="83"/>
      <c r="R34" s="83"/>
      <c r="S34" s="83"/>
      <c r="T34" s="83"/>
      <c r="U34" s="83"/>
      <c r="V34" s="83"/>
      <c r="W34" s="57">
        <v>0</v>
      </c>
    </row>
    <row r="35" spans="1:23" s="16" customFormat="1" ht="16.5">
      <c r="A35" s="14" t="s">
        <v>27</v>
      </c>
      <c r="B35" s="15"/>
      <c r="C35" s="96" t="s">
        <v>127</v>
      </c>
      <c r="D35" s="97">
        <v>411905</v>
      </c>
      <c r="E35" s="45">
        <v>792452</v>
      </c>
      <c r="F35" s="45">
        <f>F36</f>
        <v>1500000</v>
      </c>
      <c r="G35" s="45">
        <f aca="true" t="shared" si="17" ref="G35:W35">G36</f>
        <v>1721200</v>
      </c>
      <c r="H35" s="45">
        <f t="shared" si="17"/>
        <v>1900000</v>
      </c>
      <c r="I35" s="45">
        <f t="shared" si="17"/>
        <v>1853967</v>
      </c>
      <c r="J35" s="45">
        <f t="shared" si="17"/>
        <v>1675398</v>
      </c>
      <c r="K35" s="45">
        <f t="shared" si="17"/>
        <v>1474717</v>
      </c>
      <c r="L35" s="45">
        <f t="shared" si="17"/>
        <v>1323170</v>
      </c>
      <c r="M35" s="45">
        <f t="shared" si="17"/>
        <v>1182330</v>
      </c>
      <c r="N35" s="45">
        <f t="shared" si="17"/>
        <v>1018000</v>
      </c>
      <c r="O35" s="45">
        <f t="shared" si="17"/>
        <v>871060</v>
      </c>
      <c r="P35" s="45">
        <f t="shared" si="17"/>
        <v>724820</v>
      </c>
      <c r="Q35" s="45">
        <f t="shared" si="17"/>
        <v>573180</v>
      </c>
      <c r="R35" s="45">
        <f t="shared" si="17"/>
        <v>428390</v>
      </c>
      <c r="S35" s="45">
        <f t="shared" si="17"/>
        <v>288180</v>
      </c>
      <c r="T35" s="45">
        <f t="shared" si="17"/>
        <v>146750</v>
      </c>
      <c r="U35" s="45">
        <f t="shared" si="17"/>
        <v>54150</v>
      </c>
      <c r="V35" s="45">
        <f t="shared" si="17"/>
        <v>23020</v>
      </c>
      <c r="W35" s="45">
        <f t="shared" si="17"/>
        <v>0</v>
      </c>
    </row>
    <row r="36" spans="1:23" s="16" customFormat="1" ht="16.5">
      <c r="A36" s="14" t="s">
        <v>62</v>
      </c>
      <c r="B36" s="15"/>
      <c r="C36" s="62" t="s">
        <v>63</v>
      </c>
      <c r="D36" s="74">
        <v>411905</v>
      </c>
      <c r="E36" s="49">
        <v>792452</v>
      </c>
      <c r="F36" s="49">
        <v>1500000</v>
      </c>
      <c r="G36" s="49">
        <v>1721200</v>
      </c>
      <c r="H36" s="51">
        <v>1900000</v>
      </c>
      <c r="I36" s="56">
        <v>1853967</v>
      </c>
      <c r="J36" s="56">
        <v>1675398</v>
      </c>
      <c r="K36" s="56">
        <v>1474717</v>
      </c>
      <c r="L36" s="56">
        <v>1323170</v>
      </c>
      <c r="M36" s="56">
        <v>1182330</v>
      </c>
      <c r="N36" s="56">
        <v>1018000</v>
      </c>
      <c r="O36" s="56">
        <v>871060</v>
      </c>
      <c r="P36" s="83">
        <v>724820</v>
      </c>
      <c r="Q36" s="83">
        <v>573180</v>
      </c>
      <c r="R36" s="83">
        <v>428390</v>
      </c>
      <c r="S36" s="83">
        <v>288180</v>
      </c>
      <c r="T36" s="83">
        <v>146750</v>
      </c>
      <c r="U36" s="83">
        <v>54150</v>
      </c>
      <c r="V36" s="83">
        <v>23020</v>
      </c>
      <c r="W36" s="57">
        <v>0</v>
      </c>
    </row>
    <row r="37" spans="1:23" s="16" customFormat="1" ht="33">
      <c r="A37" s="14">
        <v>8</v>
      </c>
      <c r="B37" s="15"/>
      <c r="C37" s="52" t="s">
        <v>28</v>
      </c>
      <c r="D37" s="82">
        <v>0</v>
      </c>
      <c r="E37" s="56">
        <v>0</v>
      </c>
      <c r="F37" s="56">
        <v>0</v>
      </c>
      <c r="G37" s="83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</row>
    <row r="38" spans="1:23" s="16" customFormat="1" ht="16.5">
      <c r="A38" s="14">
        <v>9</v>
      </c>
      <c r="B38" s="15" t="s">
        <v>29</v>
      </c>
      <c r="C38" s="52" t="s">
        <v>30</v>
      </c>
      <c r="D38" s="81">
        <f>D31-D32-D37</f>
        <v>12969059</v>
      </c>
      <c r="E38" s="85">
        <f aca="true" t="shared" si="18" ref="E38:W38">E31-E32-E37</f>
        <v>16722520</v>
      </c>
      <c r="F38" s="85">
        <f t="shared" si="18"/>
        <v>5088338</v>
      </c>
      <c r="G38" s="86">
        <f t="shared" si="18"/>
        <v>6527824</v>
      </c>
      <c r="H38" s="61">
        <f t="shared" si="18"/>
        <v>10755216</v>
      </c>
      <c r="I38" s="85">
        <f t="shared" si="18"/>
        <v>6597100.725000009</v>
      </c>
      <c r="J38" s="85">
        <f t="shared" si="18"/>
        <v>8211028.306514993</v>
      </c>
      <c r="K38" s="85">
        <f t="shared" si="18"/>
        <v>8111483.436169714</v>
      </c>
      <c r="L38" s="85">
        <f t="shared" si="18"/>
        <v>8990723.595719844</v>
      </c>
      <c r="M38" s="85">
        <f t="shared" si="18"/>
        <v>10468106.252643272</v>
      </c>
      <c r="N38" s="85">
        <f t="shared" si="18"/>
        <v>10433588.083350465</v>
      </c>
      <c r="O38" s="85">
        <f t="shared" si="18"/>
        <v>10407124.959787413</v>
      </c>
      <c r="P38" s="85">
        <f t="shared" si="18"/>
        <v>8378671.935822785</v>
      </c>
      <c r="Q38" s="85">
        <f t="shared" si="18"/>
        <v>8298183.233415082</v>
      </c>
      <c r="R38" s="85">
        <f t="shared" si="18"/>
        <v>8205562.228556797</v>
      </c>
      <c r="S38" s="85">
        <f t="shared" si="18"/>
        <v>8150861.436992049</v>
      </c>
      <c r="T38" s="85">
        <f t="shared" si="18"/>
        <v>8398960.499703914</v>
      </c>
      <c r="U38" s="85">
        <f t="shared" si="18"/>
        <v>10483396.168168008</v>
      </c>
      <c r="V38" s="85">
        <f t="shared" si="18"/>
        <v>10742012.289368764</v>
      </c>
      <c r="W38" s="85">
        <f t="shared" si="18"/>
        <v>9830699.790574327</v>
      </c>
    </row>
    <row r="39" spans="1:23" s="16" customFormat="1" ht="16.5">
      <c r="A39" s="32">
        <v>10</v>
      </c>
      <c r="B39" s="34"/>
      <c r="C39" s="89" t="s">
        <v>31</v>
      </c>
      <c r="D39" s="98">
        <v>13151898</v>
      </c>
      <c r="E39" s="98">
        <v>37739882</v>
      </c>
      <c r="F39" s="98">
        <v>10949338</v>
      </c>
      <c r="G39" s="98">
        <v>7273704</v>
      </c>
      <c r="H39" s="99">
        <v>18505816</v>
      </c>
      <c r="I39" s="93">
        <v>6000000</v>
      </c>
      <c r="J39" s="93">
        <v>6500000</v>
      </c>
      <c r="K39" s="93">
        <v>7000000</v>
      </c>
      <c r="L39" s="93">
        <v>8000000</v>
      </c>
      <c r="M39" s="93">
        <v>8000000</v>
      </c>
      <c r="N39" s="93">
        <v>8000000</v>
      </c>
      <c r="O39" s="93">
        <v>8000000</v>
      </c>
      <c r="P39" s="93">
        <v>8000000</v>
      </c>
      <c r="Q39" s="93">
        <v>8000000</v>
      </c>
      <c r="R39" s="93">
        <v>8000000</v>
      </c>
      <c r="S39" s="93">
        <v>8000000</v>
      </c>
      <c r="T39" s="93">
        <v>8000000</v>
      </c>
      <c r="U39" s="93">
        <v>9000000</v>
      </c>
      <c r="V39" s="93">
        <v>9000000</v>
      </c>
      <c r="W39" s="93">
        <v>9000000</v>
      </c>
    </row>
    <row r="40" spans="1:23" s="16" customFormat="1" ht="32.25" customHeight="1">
      <c r="A40" s="14" t="s">
        <v>32</v>
      </c>
      <c r="B40" s="15"/>
      <c r="C40" s="52" t="s">
        <v>33</v>
      </c>
      <c r="D40" s="82">
        <v>765588</v>
      </c>
      <c r="E40" s="84">
        <v>1593749</v>
      </c>
      <c r="F40" s="84">
        <v>6951126</v>
      </c>
      <c r="G40" s="83">
        <f>4852205+2800+1230</f>
        <v>4856235</v>
      </c>
      <c r="H40" s="84">
        <v>1225316</v>
      </c>
      <c r="I40" s="56">
        <v>1414612</v>
      </c>
      <c r="J40" s="56">
        <v>939000</v>
      </c>
      <c r="K40" s="56">
        <v>954000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</row>
    <row r="41" spans="1:23" s="16" customFormat="1" ht="48" customHeight="1">
      <c r="A41" s="14" t="s">
        <v>64</v>
      </c>
      <c r="B41" s="15"/>
      <c r="C41" s="52" t="s">
        <v>55</v>
      </c>
      <c r="D41" s="100">
        <v>0</v>
      </c>
      <c r="E41" s="100">
        <v>32304268</v>
      </c>
      <c r="F41" s="100">
        <v>4796141</v>
      </c>
      <c r="G41" s="101">
        <v>3521620</v>
      </c>
      <c r="H41" s="102">
        <v>5005000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</row>
    <row r="42" spans="1:23" s="16" customFormat="1" ht="48" customHeight="1">
      <c r="A42" s="32">
        <v>11</v>
      </c>
      <c r="B42" s="34"/>
      <c r="C42" s="89" t="s">
        <v>126</v>
      </c>
      <c r="D42" s="103">
        <v>1500000</v>
      </c>
      <c r="E42" s="103">
        <v>23160496</v>
      </c>
      <c r="F42" s="104">
        <f>4361000+1500000</f>
        <v>5861000</v>
      </c>
      <c r="G42" s="105">
        <v>1500000</v>
      </c>
      <c r="H42" s="93">
        <f>6150600+1600000</f>
        <v>7750600</v>
      </c>
      <c r="I42" s="93">
        <v>1500000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</row>
    <row r="43" spans="1:23" s="16" customFormat="1" ht="15" customHeight="1">
      <c r="A43" s="14" t="s">
        <v>65</v>
      </c>
      <c r="B43" s="15"/>
      <c r="C43" s="52" t="s">
        <v>57</v>
      </c>
      <c r="D43" s="78">
        <v>0</v>
      </c>
      <c r="E43" s="153">
        <v>23160496</v>
      </c>
      <c r="F43" s="49">
        <f>4361000+1500000</f>
        <v>5861000</v>
      </c>
      <c r="G43" s="106">
        <v>1500000</v>
      </c>
      <c r="H43" s="51">
        <v>6150600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</row>
    <row r="44" spans="1:23" s="16" customFormat="1" ht="15.75" customHeight="1">
      <c r="A44" s="14">
        <v>12</v>
      </c>
      <c r="B44" s="15" t="s">
        <v>34</v>
      </c>
      <c r="C44" s="52" t="s">
        <v>35</v>
      </c>
      <c r="D44" s="107">
        <f>D38-D39+D42</f>
        <v>1317161</v>
      </c>
      <c r="E44" s="108">
        <f>E38-E39+E42</f>
        <v>2143134</v>
      </c>
      <c r="F44" s="85">
        <f>F38-F39+F42</f>
        <v>0</v>
      </c>
      <c r="G44" s="109">
        <f>G38-G39+G42</f>
        <v>754120</v>
      </c>
      <c r="H44" s="47">
        <f>H38-H39+H42</f>
        <v>0</v>
      </c>
      <c r="I44" s="85">
        <f aca="true" t="shared" si="19" ref="I44:W44">I38-I39+I42</f>
        <v>2097100.725000009</v>
      </c>
      <c r="J44" s="85">
        <f t="shared" si="19"/>
        <v>1711028.3065149933</v>
      </c>
      <c r="K44" s="85">
        <f t="shared" si="19"/>
        <v>1111483.4361697137</v>
      </c>
      <c r="L44" s="85">
        <f t="shared" si="19"/>
        <v>990723.5957198441</v>
      </c>
      <c r="M44" s="85">
        <f t="shared" si="19"/>
        <v>2468106.2526432723</v>
      </c>
      <c r="N44" s="85">
        <f t="shared" si="19"/>
        <v>2433588.0833504647</v>
      </c>
      <c r="O44" s="85">
        <f t="shared" si="19"/>
        <v>2407124.9597874135</v>
      </c>
      <c r="P44" s="85">
        <f t="shared" si="19"/>
        <v>378671.9358227849</v>
      </c>
      <c r="Q44" s="85">
        <f t="shared" si="19"/>
        <v>298183.2334150821</v>
      </c>
      <c r="R44" s="85">
        <f t="shared" si="19"/>
        <v>205562.2285567969</v>
      </c>
      <c r="S44" s="85">
        <f t="shared" si="19"/>
        <v>150861.43699204922</v>
      </c>
      <c r="T44" s="85">
        <f t="shared" si="19"/>
        <v>398960.4997039139</v>
      </c>
      <c r="U44" s="85">
        <f t="shared" si="19"/>
        <v>1483396.1681680083</v>
      </c>
      <c r="V44" s="85">
        <f t="shared" si="19"/>
        <v>1742012.2893687636</v>
      </c>
      <c r="W44" s="85">
        <f t="shared" si="19"/>
        <v>830699.7905743271</v>
      </c>
    </row>
    <row r="45" spans="1:23" s="16" customFormat="1" ht="16.5">
      <c r="A45" s="32">
        <v>13</v>
      </c>
      <c r="B45" s="34"/>
      <c r="C45" s="89" t="s">
        <v>66</v>
      </c>
      <c r="D45" s="150">
        <v>8457242</v>
      </c>
      <c r="E45" s="105">
        <v>29859996</v>
      </c>
      <c r="F45" s="111">
        <v>28660210</v>
      </c>
      <c r="G45" s="110">
        <v>29760282</v>
      </c>
      <c r="H45" s="93">
        <v>31032412</v>
      </c>
      <c r="I45" s="93">
        <v>27653942</v>
      </c>
      <c r="J45" s="152">
        <v>24033672</v>
      </c>
      <c r="K45" s="93">
        <v>21632802</v>
      </c>
      <c r="L45" s="93">
        <v>19231932</v>
      </c>
      <c r="M45" s="93">
        <v>16831062</v>
      </c>
      <c r="N45" s="93">
        <v>14470192</v>
      </c>
      <c r="O45" s="93">
        <v>12109322</v>
      </c>
      <c r="P45" s="112">
        <v>9748452</v>
      </c>
      <c r="Q45" s="112">
        <v>7387582</v>
      </c>
      <c r="R45" s="112">
        <v>5246662</v>
      </c>
      <c r="S45" s="112">
        <v>3105742</v>
      </c>
      <c r="T45" s="112">
        <v>964800</v>
      </c>
      <c r="U45" s="112">
        <v>482400</v>
      </c>
      <c r="V45" s="112">
        <v>0</v>
      </c>
      <c r="W45" s="113">
        <v>0</v>
      </c>
    </row>
    <row r="46" spans="1:23" s="16" customFormat="1" ht="63.75" customHeight="1">
      <c r="A46" s="14" t="s">
        <v>36</v>
      </c>
      <c r="B46" s="15"/>
      <c r="C46" s="52" t="s">
        <v>67</v>
      </c>
      <c r="D46" s="82">
        <v>0</v>
      </c>
      <c r="E46" s="56">
        <v>0</v>
      </c>
      <c r="F46" s="56">
        <v>0</v>
      </c>
      <c r="G46" s="83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</row>
    <row r="47" spans="1:23" s="16" customFormat="1" ht="33">
      <c r="A47" s="14">
        <v>14</v>
      </c>
      <c r="B47" s="15"/>
      <c r="C47" s="52" t="s">
        <v>68</v>
      </c>
      <c r="D47" s="82">
        <v>0</v>
      </c>
      <c r="E47" s="56">
        <v>0</v>
      </c>
      <c r="F47" s="56">
        <v>0</v>
      </c>
      <c r="G47" s="83">
        <v>1500000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</row>
    <row r="48" spans="1:23" s="16" customFormat="1" ht="79.5" customHeight="1">
      <c r="A48" s="14">
        <v>15</v>
      </c>
      <c r="B48" s="15"/>
      <c r="C48" s="52" t="s">
        <v>37</v>
      </c>
      <c r="D48" s="82">
        <v>0</v>
      </c>
      <c r="E48" s="56">
        <v>0</v>
      </c>
      <c r="F48" s="56">
        <v>0</v>
      </c>
      <c r="G48" s="83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</row>
    <row r="49" spans="1:23" s="16" customFormat="1" ht="49.5">
      <c r="A49" s="14">
        <v>16</v>
      </c>
      <c r="B49" s="15"/>
      <c r="C49" s="52" t="s">
        <v>69</v>
      </c>
      <c r="D49" s="82">
        <v>0</v>
      </c>
      <c r="E49" s="56">
        <v>0</v>
      </c>
      <c r="F49" s="56">
        <v>0</v>
      </c>
      <c r="G49" s="83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</row>
    <row r="50" spans="1:23" s="16" customFormat="1" ht="16.5">
      <c r="A50" s="14">
        <v>17</v>
      </c>
      <c r="B50" s="15"/>
      <c r="C50" s="52" t="s">
        <v>70</v>
      </c>
      <c r="D50" s="82">
        <v>0</v>
      </c>
      <c r="E50" s="56">
        <v>0</v>
      </c>
      <c r="F50" s="56">
        <v>0</v>
      </c>
      <c r="G50" s="83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</row>
    <row r="51" spans="1:23" s="16" customFormat="1" ht="16.5">
      <c r="A51" s="14" t="s">
        <v>71</v>
      </c>
      <c r="B51" s="15"/>
      <c r="C51" s="52" t="s">
        <v>72</v>
      </c>
      <c r="D51" s="82">
        <v>0</v>
      </c>
      <c r="E51" s="56">
        <v>0</v>
      </c>
      <c r="F51" s="56">
        <v>0</v>
      </c>
      <c r="G51" s="83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7">
        <v>0</v>
      </c>
    </row>
    <row r="52" spans="1:23" s="16" customFormat="1" ht="32.25" customHeight="1">
      <c r="A52" s="14">
        <v>18</v>
      </c>
      <c r="B52" s="15" t="s">
        <v>73</v>
      </c>
      <c r="C52" s="52" t="s">
        <v>74</v>
      </c>
      <c r="D52" s="114">
        <f aca="true" t="shared" si="20" ref="D52:W52">D45/D6</f>
        <v>0.10301636238426126</v>
      </c>
      <c r="E52" s="115">
        <f t="shared" si="20"/>
        <v>0.30239238690505493</v>
      </c>
      <c r="F52" s="115">
        <f t="shared" si="20"/>
        <v>0.3075732896383568</v>
      </c>
      <c r="G52" s="116">
        <f t="shared" si="20"/>
        <v>0.3233443932510277</v>
      </c>
      <c r="H52" s="117">
        <f t="shared" si="20"/>
        <v>0.30284574706116807</v>
      </c>
      <c r="I52" s="115">
        <f t="shared" si="20"/>
        <v>0.2860077828276552</v>
      </c>
      <c r="J52" s="115">
        <f t="shared" si="20"/>
        <v>0.2440995452625707</v>
      </c>
      <c r="K52" s="115">
        <f t="shared" si="20"/>
        <v>0.21975856021422543</v>
      </c>
      <c r="L52" s="115">
        <f t="shared" si="20"/>
        <v>0.19110183035630998</v>
      </c>
      <c r="M52" s="115">
        <f t="shared" si="20"/>
        <v>0.16269259328329616</v>
      </c>
      <c r="N52" s="115">
        <f t="shared" si="20"/>
        <v>0.13815687737155782</v>
      </c>
      <c r="O52" s="115">
        <f t="shared" si="20"/>
        <v>0.11414188765449251</v>
      </c>
      <c r="P52" s="115">
        <f t="shared" si="20"/>
        <v>0.09243615777310871</v>
      </c>
      <c r="Q52" s="115">
        <f t="shared" si="20"/>
        <v>0.06917095136409603</v>
      </c>
      <c r="R52" s="115">
        <f t="shared" si="20"/>
        <v>0.04861109491456321</v>
      </c>
      <c r="S52" s="115">
        <f t="shared" si="20"/>
        <v>0.0284043302787401</v>
      </c>
      <c r="T52" s="115">
        <f t="shared" si="20"/>
        <v>0.008686078323744168</v>
      </c>
      <c r="U52" s="115">
        <f t="shared" si="20"/>
        <v>0.004268716726602492</v>
      </c>
      <c r="V52" s="115">
        <f t="shared" si="20"/>
        <v>0</v>
      </c>
      <c r="W52" s="115">
        <f t="shared" si="20"/>
        <v>0</v>
      </c>
    </row>
    <row r="53" spans="1:23" s="16" customFormat="1" ht="49.5">
      <c r="A53" s="14" t="s">
        <v>75</v>
      </c>
      <c r="B53" s="15" t="s">
        <v>76</v>
      </c>
      <c r="C53" s="52" t="s">
        <v>77</v>
      </c>
      <c r="D53" s="114">
        <f aca="true" t="shared" si="21" ref="D53:W53">SUM(D45-D47)/D6</f>
        <v>0.10301636238426126</v>
      </c>
      <c r="E53" s="115">
        <f t="shared" si="21"/>
        <v>0.30239238690505493</v>
      </c>
      <c r="F53" s="115">
        <f t="shared" si="21"/>
        <v>0.3075732896383568</v>
      </c>
      <c r="G53" s="116">
        <f t="shared" si="21"/>
        <v>0.3070469472161903</v>
      </c>
      <c r="H53" s="117">
        <f t="shared" si="21"/>
        <v>0.30284574706116807</v>
      </c>
      <c r="I53" s="115">
        <f t="shared" si="21"/>
        <v>0.2860077828276552</v>
      </c>
      <c r="J53" s="115">
        <f t="shared" si="21"/>
        <v>0.2440995452625707</v>
      </c>
      <c r="K53" s="115">
        <f t="shared" si="21"/>
        <v>0.21975856021422543</v>
      </c>
      <c r="L53" s="115">
        <f t="shared" si="21"/>
        <v>0.19110183035630998</v>
      </c>
      <c r="M53" s="115">
        <f t="shared" si="21"/>
        <v>0.16269259328329616</v>
      </c>
      <c r="N53" s="115">
        <f t="shared" si="21"/>
        <v>0.13815687737155782</v>
      </c>
      <c r="O53" s="115">
        <f t="shared" si="21"/>
        <v>0.11414188765449251</v>
      </c>
      <c r="P53" s="115">
        <f t="shared" si="21"/>
        <v>0.09243615777310871</v>
      </c>
      <c r="Q53" s="115">
        <f t="shared" si="21"/>
        <v>0.06917095136409603</v>
      </c>
      <c r="R53" s="115">
        <f t="shared" si="21"/>
        <v>0.04861109491456321</v>
      </c>
      <c r="S53" s="115">
        <f t="shared" si="21"/>
        <v>0.0284043302787401</v>
      </c>
      <c r="T53" s="115">
        <f t="shared" si="21"/>
        <v>0.008686078323744168</v>
      </c>
      <c r="U53" s="115">
        <f t="shared" si="21"/>
        <v>0.004268716726602492</v>
      </c>
      <c r="V53" s="115">
        <f t="shared" si="21"/>
        <v>0</v>
      </c>
      <c r="W53" s="115">
        <f t="shared" si="21"/>
        <v>0</v>
      </c>
    </row>
    <row r="54" spans="1:23" s="16" customFormat="1" ht="49.5">
      <c r="A54" s="14">
        <v>19</v>
      </c>
      <c r="B54" s="15" t="s">
        <v>78</v>
      </c>
      <c r="C54" s="52" t="s">
        <v>79</v>
      </c>
      <c r="D54" s="114">
        <f aca="true" t="shared" si="22" ref="D54:W54">SUM(D33+D36+D22)/D6</f>
        <v>0.008184420054817705</v>
      </c>
      <c r="E54" s="115">
        <f t="shared" si="22"/>
        <v>0.02582583235211919</v>
      </c>
      <c r="F54" s="115">
        <f t="shared" si="22"/>
        <v>0.03794643168554315</v>
      </c>
      <c r="G54" s="116">
        <f t="shared" si="22"/>
        <v>0.03608161113422391</v>
      </c>
      <c r="H54" s="117">
        <f t="shared" si="22"/>
        <v>0.07040806644194454</v>
      </c>
      <c r="I54" s="115">
        <f t="shared" si="22"/>
        <v>0.058627240196888065</v>
      </c>
      <c r="J54" s="115">
        <f t="shared" si="22"/>
        <v>0.05821608834076959</v>
      </c>
      <c r="K54" s="115">
        <f t="shared" si="22"/>
        <v>0.043801635269920855</v>
      </c>
      <c r="L54" s="115">
        <f t="shared" si="22"/>
        <v>0.04133903337020613</v>
      </c>
      <c r="M54" s="115">
        <f t="shared" si="22"/>
        <v>0.03885236769033829</v>
      </c>
      <c r="N54" s="115">
        <f t="shared" si="22"/>
        <v>0.03642509775640221</v>
      </c>
      <c r="O54" s="115">
        <f t="shared" si="22"/>
        <v>0.03457561722795658</v>
      </c>
      <c r="P54" s="115">
        <f t="shared" si="22"/>
        <v>0.03339504361303044</v>
      </c>
      <c r="Q54" s="115">
        <f t="shared" si="22"/>
        <v>0.0315561165798017</v>
      </c>
      <c r="R54" s="115">
        <f t="shared" si="22"/>
        <v>0.027846492089002278</v>
      </c>
      <c r="S54" s="115">
        <f t="shared" si="22"/>
        <v>0.026205308601832993</v>
      </c>
      <c r="T54" s="115">
        <f t="shared" si="22"/>
        <v>0.0245231542883708</v>
      </c>
      <c r="U54" s="115">
        <f t="shared" si="22"/>
        <v>0.008607782329607327</v>
      </c>
      <c r="V54" s="115">
        <f t="shared" si="22"/>
        <v>0.008202446740886597</v>
      </c>
      <c r="W54" s="115">
        <f t="shared" si="22"/>
        <v>0.003794451159363209</v>
      </c>
    </row>
    <row r="55" spans="1:23" s="16" customFormat="1" ht="65.25" customHeight="1">
      <c r="A55" s="14" t="s">
        <v>80</v>
      </c>
      <c r="B55" s="15" t="s">
        <v>81</v>
      </c>
      <c r="C55" s="52" t="s">
        <v>82</v>
      </c>
      <c r="D55" s="114">
        <f aca="true" t="shared" si="23" ref="D55:W55">SUM(D33+D36+D22-D23-D34)/D6</f>
        <v>0.008184420054817705</v>
      </c>
      <c r="E55" s="115">
        <f t="shared" si="23"/>
        <v>0.02582583235211919</v>
      </c>
      <c r="F55" s="115">
        <f t="shared" si="23"/>
        <v>0.03794643168554315</v>
      </c>
      <c r="G55" s="116">
        <f t="shared" si="23"/>
        <v>0.03608161113422391</v>
      </c>
      <c r="H55" s="117">
        <f t="shared" si="23"/>
        <v>0.07040806644194454</v>
      </c>
      <c r="I55" s="115">
        <f t="shared" si="23"/>
        <v>0.058627240196888065</v>
      </c>
      <c r="J55" s="115">
        <f t="shared" si="23"/>
        <v>0.05821608834076959</v>
      </c>
      <c r="K55" s="115">
        <f t="shared" si="23"/>
        <v>0.043801635269920855</v>
      </c>
      <c r="L55" s="115">
        <f t="shared" si="23"/>
        <v>0.04133903337020613</v>
      </c>
      <c r="M55" s="115">
        <f t="shared" si="23"/>
        <v>0.03885236769033829</v>
      </c>
      <c r="N55" s="115">
        <f t="shared" si="23"/>
        <v>0.03642509775640221</v>
      </c>
      <c r="O55" s="115">
        <f t="shared" si="23"/>
        <v>0.03457561722795658</v>
      </c>
      <c r="P55" s="115">
        <f t="shared" si="23"/>
        <v>0.03339504361303044</v>
      </c>
      <c r="Q55" s="115">
        <f t="shared" si="23"/>
        <v>0.0315561165798017</v>
      </c>
      <c r="R55" s="115">
        <f t="shared" si="23"/>
        <v>0.027846492089002278</v>
      </c>
      <c r="S55" s="115">
        <f t="shared" si="23"/>
        <v>0.026205308601832993</v>
      </c>
      <c r="T55" s="115">
        <f t="shared" si="23"/>
        <v>0.0245231542883708</v>
      </c>
      <c r="U55" s="115">
        <f t="shared" si="23"/>
        <v>0.008607782329607327</v>
      </c>
      <c r="V55" s="115">
        <f t="shared" si="23"/>
        <v>0.008202446740886597</v>
      </c>
      <c r="W55" s="115">
        <f t="shared" si="23"/>
        <v>0.003794451159363209</v>
      </c>
    </row>
    <row r="56" spans="1:23" s="16" customFormat="1" ht="33">
      <c r="A56" s="14">
        <v>20</v>
      </c>
      <c r="B56" s="15" t="s">
        <v>83</v>
      </c>
      <c r="C56" s="52" t="s">
        <v>39</v>
      </c>
      <c r="D56" s="114">
        <f aca="true" t="shared" si="24" ref="D56:W56">SUM(D7-D63+D13)/D6</f>
        <v>0.06937693413563206</v>
      </c>
      <c r="E56" s="115">
        <f t="shared" si="24"/>
        <v>0.05372085527151068</v>
      </c>
      <c r="F56" s="115">
        <f t="shared" si="24"/>
        <v>0.020394417248721063</v>
      </c>
      <c r="G56" s="116">
        <f t="shared" si="24"/>
        <v>0.03628756739224816</v>
      </c>
      <c r="H56" s="117">
        <f t="shared" si="24"/>
        <v>0.05912037106660374</v>
      </c>
      <c r="I56" s="115">
        <f t="shared" si="24"/>
        <v>0.09769401323708517</v>
      </c>
      <c r="J56" s="115">
        <f t="shared" si="24"/>
        <v>0.11976948477161455</v>
      </c>
      <c r="K56" s="115">
        <f t="shared" si="24"/>
        <v>0.10639464762599002</v>
      </c>
      <c r="L56" s="115">
        <f t="shared" si="24"/>
        <v>0.112807491305466</v>
      </c>
      <c r="M56" s="115">
        <f t="shared" si="24"/>
        <v>0.12401748700871514</v>
      </c>
      <c r="N56" s="115">
        <f t="shared" si="24"/>
        <v>0.12178536221250921</v>
      </c>
      <c r="O56" s="115">
        <f t="shared" si="24"/>
        <v>0.11998312143817466</v>
      </c>
      <c r="P56" s="115">
        <f t="shared" si="24"/>
        <v>0.1014642325884425</v>
      </c>
      <c r="Q56" s="115">
        <f t="shared" si="24"/>
        <v>0.09943725102415081</v>
      </c>
      <c r="R56" s="115">
        <f t="shared" si="24"/>
        <v>0.09550056085351523</v>
      </c>
      <c r="S56" s="115">
        <f t="shared" si="24"/>
        <v>0.09376956357481864</v>
      </c>
      <c r="T56" s="115">
        <f t="shared" si="24"/>
        <v>0.09453966630214437</v>
      </c>
      <c r="U56" s="115">
        <f t="shared" si="24"/>
        <v>0.09669050584667545</v>
      </c>
      <c r="V56" s="115">
        <f t="shared" si="24"/>
        <v>0.0974362751822683</v>
      </c>
      <c r="W56" s="115">
        <f t="shared" si="24"/>
        <v>0.08517702358851231</v>
      </c>
    </row>
    <row r="57" spans="1:24" s="19" customFormat="1" ht="33">
      <c r="A57" s="17" t="s">
        <v>84</v>
      </c>
      <c r="B57" s="18" t="s">
        <v>85</v>
      </c>
      <c r="C57" s="118" t="s">
        <v>38</v>
      </c>
      <c r="D57" s="119">
        <f>SUM(D56)</f>
        <v>0.06937693413563206</v>
      </c>
      <c r="E57" s="120">
        <f>SUM(E56)</f>
        <v>0.05372085527151068</v>
      </c>
      <c r="F57" s="120">
        <f>SUM(F56)</f>
        <v>0.020394417248721063</v>
      </c>
      <c r="G57" s="121">
        <v>0.058</v>
      </c>
      <c r="H57" s="121">
        <f>SUM(D56+F56+E56)/3</f>
        <v>0.047830735551954606</v>
      </c>
      <c r="I57" s="121">
        <f>SUM(E56+F56+H56)/3</f>
        <v>0.044411881195611826</v>
      </c>
      <c r="J57" s="121">
        <f>SUM(F56+H56+I56)/3</f>
        <v>0.05906960051746999</v>
      </c>
      <c r="K57" s="121">
        <f>SUM(H56+I56+J56)/3</f>
        <v>0.09219462302510116</v>
      </c>
      <c r="L57" s="121">
        <f>SUM(I56+J56+K56)/3</f>
        <v>0.10795271521156324</v>
      </c>
      <c r="M57" s="121">
        <f>SUM(J56+K56+L56)/3</f>
        <v>0.11299054123435685</v>
      </c>
      <c r="N57" s="121">
        <f>SUM(K56+L56+M56)/3</f>
        <v>0.11440654198005705</v>
      </c>
      <c r="O57" s="121">
        <f>SUM(L56+M56+N56)/3</f>
        <v>0.11953678017556346</v>
      </c>
      <c r="P57" s="121">
        <f aca="true" t="shared" si="25" ref="P57:W57">SUM(M56+N56+O56)/3</f>
        <v>0.12192865688646633</v>
      </c>
      <c r="Q57" s="121">
        <f t="shared" si="25"/>
        <v>0.11441090541304212</v>
      </c>
      <c r="R57" s="121">
        <f t="shared" si="25"/>
        <v>0.10696153501692267</v>
      </c>
      <c r="S57" s="121">
        <f t="shared" si="25"/>
        <v>0.09880068148870284</v>
      </c>
      <c r="T57" s="121">
        <f t="shared" si="25"/>
        <v>0.0962357918174949</v>
      </c>
      <c r="U57" s="121">
        <f t="shared" si="25"/>
        <v>0.09460326357682608</v>
      </c>
      <c r="V57" s="121">
        <f t="shared" si="25"/>
        <v>0.09499991190787949</v>
      </c>
      <c r="W57" s="121">
        <f t="shared" si="25"/>
        <v>0.09622214911036271</v>
      </c>
      <c r="X57" s="151"/>
    </row>
    <row r="58" spans="1:23" s="16" customFormat="1" ht="49.5">
      <c r="A58" s="14">
        <v>21</v>
      </c>
      <c r="B58" s="15" t="s">
        <v>86</v>
      </c>
      <c r="C58" s="52" t="s">
        <v>87</v>
      </c>
      <c r="D58" s="114">
        <f aca="true" t="shared" si="26" ref="D58:W58">SUM(D33+D36+D22+D48)/D6</f>
        <v>0.008184420054817705</v>
      </c>
      <c r="E58" s="115">
        <f t="shared" si="26"/>
        <v>0.02582583235211919</v>
      </c>
      <c r="F58" s="115">
        <f t="shared" si="26"/>
        <v>0.03794643168554315</v>
      </c>
      <c r="G58" s="116">
        <f t="shared" si="26"/>
        <v>0.03608161113422391</v>
      </c>
      <c r="H58" s="117">
        <f t="shared" si="26"/>
        <v>0.07040806644194454</v>
      </c>
      <c r="I58" s="115">
        <f t="shared" si="26"/>
        <v>0.058627240196888065</v>
      </c>
      <c r="J58" s="115">
        <f t="shared" si="26"/>
        <v>0.05821608834076959</v>
      </c>
      <c r="K58" s="115">
        <f t="shared" si="26"/>
        <v>0.043801635269920855</v>
      </c>
      <c r="L58" s="115">
        <f t="shared" si="26"/>
        <v>0.04133903337020613</v>
      </c>
      <c r="M58" s="115">
        <f t="shared" si="26"/>
        <v>0.03885236769033829</v>
      </c>
      <c r="N58" s="115">
        <f t="shared" si="26"/>
        <v>0.03642509775640221</v>
      </c>
      <c r="O58" s="115">
        <f t="shared" si="26"/>
        <v>0.03457561722795658</v>
      </c>
      <c r="P58" s="115">
        <f t="shared" si="26"/>
        <v>0.03339504361303044</v>
      </c>
      <c r="Q58" s="115">
        <f t="shared" si="26"/>
        <v>0.0315561165798017</v>
      </c>
      <c r="R58" s="115">
        <f t="shared" si="26"/>
        <v>0.027846492089002278</v>
      </c>
      <c r="S58" s="115">
        <f t="shared" si="26"/>
        <v>0.026205308601832993</v>
      </c>
      <c r="T58" s="115">
        <f t="shared" si="26"/>
        <v>0.0245231542883708</v>
      </c>
      <c r="U58" s="115">
        <f t="shared" si="26"/>
        <v>0.008607782329607327</v>
      </c>
      <c r="V58" s="115">
        <f t="shared" si="26"/>
        <v>0.008202446740886597</v>
      </c>
      <c r="W58" s="115">
        <f t="shared" si="26"/>
        <v>0.003794451159363209</v>
      </c>
    </row>
    <row r="59" spans="1:23" s="16" customFormat="1" ht="49.5">
      <c r="A59" s="14" t="s">
        <v>88</v>
      </c>
      <c r="B59" s="15" t="s">
        <v>89</v>
      </c>
      <c r="C59" s="52" t="s">
        <v>90</v>
      </c>
      <c r="D59" s="122" t="s">
        <v>47</v>
      </c>
      <c r="E59" s="123" t="s">
        <v>47</v>
      </c>
      <c r="F59" s="123" t="s">
        <v>91</v>
      </c>
      <c r="G59" s="124" t="s">
        <v>47</v>
      </c>
      <c r="H59" s="123" t="s">
        <v>91</v>
      </c>
      <c r="I59" s="123" t="s">
        <v>91</v>
      </c>
      <c r="J59" s="123" t="s">
        <v>47</v>
      </c>
      <c r="K59" s="123" t="s">
        <v>47</v>
      </c>
      <c r="L59" s="123" t="s">
        <v>47</v>
      </c>
      <c r="M59" s="123" t="s">
        <v>47</v>
      </c>
      <c r="N59" s="123" t="s">
        <v>47</v>
      </c>
      <c r="O59" s="123" t="s">
        <v>47</v>
      </c>
      <c r="P59" s="123" t="s">
        <v>47</v>
      </c>
      <c r="Q59" s="123" t="s">
        <v>47</v>
      </c>
      <c r="R59" s="123" t="s">
        <v>47</v>
      </c>
      <c r="S59" s="123" t="s">
        <v>47</v>
      </c>
      <c r="T59" s="123" t="s">
        <v>47</v>
      </c>
      <c r="U59" s="123" t="s">
        <v>47</v>
      </c>
      <c r="V59" s="123" t="s">
        <v>47</v>
      </c>
      <c r="W59" s="123" t="s">
        <v>47</v>
      </c>
    </row>
    <row r="60" spans="1:24" s="19" customFormat="1" ht="49.5">
      <c r="A60" s="17">
        <v>22</v>
      </c>
      <c r="B60" s="18" t="s">
        <v>92</v>
      </c>
      <c r="C60" s="118" t="s">
        <v>93</v>
      </c>
      <c r="D60" s="119">
        <f aca="true" t="shared" si="27" ref="D60:W60">SUM(D33+D36+D22+D48-D23-D34)/D6</f>
        <v>0.008184420054817705</v>
      </c>
      <c r="E60" s="120">
        <f t="shared" si="27"/>
        <v>0.02582583235211919</v>
      </c>
      <c r="F60" s="120">
        <f t="shared" si="27"/>
        <v>0.03794643168554315</v>
      </c>
      <c r="G60" s="125">
        <f t="shared" si="27"/>
        <v>0.03608161113422391</v>
      </c>
      <c r="H60" s="121">
        <f t="shared" si="27"/>
        <v>0.07040806644194454</v>
      </c>
      <c r="I60" s="120">
        <f t="shared" si="27"/>
        <v>0.058627240196888065</v>
      </c>
      <c r="J60" s="120">
        <f t="shared" si="27"/>
        <v>0.05821608834076959</v>
      </c>
      <c r="K60" s="120">
        <f t="shared" si="27"/>
        <v>0.043801635269920855</v>
      </c>
      <c r="L60" s="120">
        <f t="shared" si="27"/>
        <v>0.04133903337020613</v>
      </c>
      <c r="M60" s="120">
        <f t="shared" si="27"/>
        <v>0.03885236769033829</v>
      </c>
      <c r="N60" s="120">
        <f t="shared" si="27"/>
        <v>0.03642509775640221</v>
      </c>
      <c r="O60" s="120">
        <f t="shared" si="27"/>
        <v>0.03457561722795658</v>
      </c>
      <c r="P60" s="120">
        <f t="shared" si="27"/>
        <v>0.03339504361303044</v>
      </c>
      <c r="Q60" s="120">
        <f t="shared" si="27"/>
        <v>0.0315561165798017</v>
      </c>
      <c r="R60" s="120">
        <f t="shared" si="27"/>
        <v>0.027846492089002278</v>
      </c>
      <c r="S60" s="120">
        <f t="shared" si="27"/>
        <v>0.026205308601832993</v>
      </c>
      <c r="T60" s="120">
        <f t="shared" si="27"/>
        <v>0.0245231542883708</v>
      </c>
      <c r="U60" s="120">
        <f t="shared" si="27"/>
        <v>0.008607782329607327</v>
      </c>
      <c r="V60" s="120">
        <f t="shared" si="27"/>
        <v>0.008202446740886597</v>
      </c>
      <c r="W60" s="120">
        <f t="shared" si="27"/>
        <v>0.003794451159363209</v>
      </c>
      <c r="X60" s="151"/>
    </row>
    <row r="61" spans="1:23" ht="50.25" customHeight="1" thickBot="1">
      <c r="A61" s="9" t="s">
        <v>94</v>
      </c>
      <c r="B61" s="10" t="s">
        <v>95</v>
      </c>
      <c r="C61" s="73" t="s">
        <v>96</v>
      </c>
      <c r="D61" s="126" t="s">
        <v>47</v>
      </c>
      <c r="E61" s="127" t="s">
        <v>47</v>
      </c>
      <c r="F61" s="127" t="s">
        <v>91</v>
      </c>
      <c r="G61" s="128" t="s">
        <v>47</v>
      </c>
      <c r="H61" s="127" t="s">
        <v>91</v>
      </c>
      <c r="I61" s="127" t="s">
        <v>91</v>
      </c>
      <c r="J61" s="127" t="s">
        <v>47</v>
      </c>
      <c r="K61" s="127" t="s">
        <v>47</v>
      </c>
      <c r="L61" s="127" t="s">
        <v>47</v>
      </c>
      <c r="M61" s="127" t="s">
        <v>47</v>
      </c>
      <c r="N61" s="127" t="s">
        <v>47</v>
      </c>
      <c r="O61" s="127" t="s">
        <v>47</v>
      </c>
      <c r="P61" s="127" t="s">
        <v>47</v>
      </c>
      <c r="Q61" s="127" t="s">
        <v>47</v>
      </c>
      <c r="R61" s="127" t="s">
        <v>47</v>
      </c>
      <c r="S61" s="127" t="s">
        <v>47</v>
      </c>
      <c r="T61" s="127" t="s">
        <v>47</v>
      </c>
      <c r="U61" s="127" t="s">
        <v>47</v>
      </c>
      <c r="V61" s="127" t="s">
        <v>47</v>
      </c>
      <c r="W61" s="127" t="s">
        <v>47</v>
      </c>
    </row>
    <row r="62" spans="1:23" ht="21" customHeight="1">
      <c r="A62" s="11">
        <v>23</v>
      </c>
      <c r="B62" s="12" t="s">
        <v>97</v>
      </c>
      <c r="C62" s="129" t="s">
        <v>146</v>
      </c>
      <c r="D62" s="130">
        <f>D7</f>
        <v>74645533</v>
      </c>
      <c r="E62" s="131">
        <f aca="true" t="shared" si="28" ref="E62:W62">E7</f>
        <v>80930906</v>
      </c>
      <c r="F62" s="132">
        <f t="shared" si="28"/>
        <v>86779292</v>
      </c>
      <c r="G62" s="133">
        <f t="shared" si="28"/>
        <v>86698812</v>
      </c>
      <c r="H62" s="134">
        <f t="shared" si="28"/>
        <v>90663891</v>
      </c>
      <c r="I62" s="131">
        <f t="shared" si="28"/>
        <v>93069885.715</v>
      </c>
      <c r="J62" s="131">
        <f t="shared" si="28"/>
        <v>95569511.39352499</v>
      </c>
      <c r="K62" s="131">
        <f t="shared" si="28"/>
        <v>96849974.35948485</v>
      </c>
      <c r="L62" s="131">
        <f t="shared" si="28"/>
        <v>98148113.4728847</v>
      </c>
      <c r="M62" s="131">
        <f t="shared" si="28"/>
        <v>99464178.5679656</v>
      </c>
      <c r="N62" s="131">
        <f t="shared" si="28"/>
        <v>100798423.07340261</v>
      </c>
      <c r="O62" s="131">
        <f t="shared" si="28"/>
        <v>102151104.06469034</v>
      </c>
      <c r="P62" s="131">
        <f t="shared" si="28"/>
        <v>103522482.31729925</v>
      </c>
      <c r="Q62" s="131">
        <f t="shared" si="28"/>
        <v>104912822.36061369</v>
      </c>
      <c r="R62" s="131">
        <f t="shared" si="28"/>
        <v>106322392.53266338</v>
      </c>
      <c r="S62" s="131">
        <f t="shared" si="28"/>
        <v>107751465.03566022</v>
      </c>
      <c r="T62" s="131">
        <f t="shared" si="28"/>
        <v>109200315.9923521</v>
      </c>
      <c r="U62" s="131">
        <f t="shared" si="28"/>
        <v>110669225.50320591</v>
      </c>
      <c r="V62" s="131">
        <f t="shared" si="28"/>
        <v>112158477.70443222</v>
      </c>
      <c r="W62" s="131">
        <f t="shared" si="28"/>
        <v>113668360.82686372</v>
      </c>
    </row>
    <row r="63" spans="1:23" ht="21" customHeight="1">
      <c r="A63" s="6">
        <v>24</v>
      </c>
      <c r="B63" s="2" t="s">
        <v>40</v>
      </c>
      <c r="C63" s="135" t="s">
        <v>143</v>
      </c>
      <c r="D63" s="136">
        <f>D19+D35</f>
        <v>73464195</v>
      </c>
      <c r="E63" s="137">
        <f aca="true" t="shared" si="29" ref="E63:W63">E19+E35</f>
        <v>81592772</v>
      </c>
      <c r="F63" s="138">
        <f t="shared" si="29"/>
        <v>87881290</v>
      </c>
      <c r="G63" s="139">
        <f t="shared" si="29"/>
        <v>86061379</v>
      </c>
      <c r="H63" s="140">
        <f t="shared" si="29"/>
        <v>87589801</v>
      </c>
      <c r="I63" s="137">
        <f t="shared" si="29"/>
        <v>86713902.99</v>
      </c>
      <c r="J63" s="137">
        <f t="shared" si="29"/>
        <v>86627189.08701</v>
      </c>
      <c r="K63" s="137">
        <f t="shared" si="29"/>
        <v>87926596.92331514</v>
      </c>
      <c r="L63" s="137">
        <f t="shared" si="29"/>
        <v>89245495.87716486</v>
      </c>
      <c r="M63" s="137">
        <f t="shared" si="29"/>
        <v>90584178.31532232</v>
      </c>
      <c r="N63" s="137">
        <f t="shared" si="29"/>
        <v>91942940.99005215</v>
      </c>
      <c r="O63" s="137">
        <f t="shared" si="29"/>
        <v>93322085.10490292</v>
      </c>
      <c r="P63" s="137">
        <f t="shared" si="29"/>
        <v>94721916.38147646</v>
      </c>
      <c r="Q63" s="137">
        <f t="shared" si="29"/>
        <v>96142745.1271986</v>
      </c>
      <c r="R63" s="137">
        <f t="shared" si="29"/>
        <v>97584886.30410658</v>
      </c>
      <c r="S63" s="137">
        <f t="shared" si="29"/>
        <v>99048659.59866817</v>
      </c>
      <c r="T63" s="137">
        <f t="shared" si="29"/>
        <v>100534389.49264818</v>
      </c>
      <c r="U63" s="137">
        <f t="shared" si="29"/>
        <v>102042405.3350379</v>
      </c>
      <c r="V63" s="137">
        <f t="shared" si="29"/>
        <v>103573041.41506346</v>
      </c>
      <c r="W63" s="137">
        <f t="shared" si="29"/>
        <v>105126637.0362894</v>
      </c>
    </row>
    <row r="64" spans="1:23" ht="20.25" customHeight="1">
      <c r="A64" s="6">
        <v>25</v>
      </c>
      <c r="B64" s="2" t="s">
        <v>98</v>
      </c>
      <c r="C64" s="135" t="s">
        <v>99</v>
      </c>
      <c r="D64" s="136">
        <f>D62-D63</f>
        <v>1181338</v>
      </c>
      <c r="E64" s="137">
        <f aca="true" t="shared" si="30" ref="E64:W64">E62-E63</f>
        <v>-661866</v>
      </c>
      <c r="F64" s="138">
        <f t="shared" si="30"/>
        <v>-1101998</v>
      </c>
      <c r="G64" s="139">
        <f t="shared" si="30"/>
        <v>637433</v>
      </c>
      <c r="H64" s="140">
        <f t="shared" si="30"/>
        <v>3074090</v>
      </c>
      <c r="I64" s="137">
        <f t="shared" si="30"/>
        <v>6355982.725000009</v>
      </c>
      <c r="J64" s="137">
        <f t="shared" si="30"/>
        <v>8942322.306514993</v>
      </c>
      <c r="K64" s="137">
        <f t="shared" si="30"/>
        <v>8923377.436169714</v>
      </c>
      <c r="L64" s="137">
        <f t="shared" si="30"/>
        <v>8902617.595719844</v>
      </c>
      <c r="M64" s="137">
        <f t="shared" si="30"/>
        <v>8880000.252643272</v>
      </c>
      <c r="N64" s="137">
        <f t="shared" si="30"/>
        <v>8855482.083350465</v>
      </c>
      <c r="O64" s="137">
        <f t="shared" si="30"/>
        <v>8829018.959787413</v>
      </c>
      <c r="P64" s="137">
        <f t="shared" si="30"/>
        <v>8800565.935822785</v>
      </c>
      <c r="Q64" s="137">
        <f t="shared" si="30"/>
        <v>8770077.233415082</v>
      </c>
      <c r="R64" s="137">
        <f t="shared" si="30"/>
        <v>8737506.228556797</v>
      </c>
      <c r="S64" s="137">
        <f t="shared" si="30"/>
        <v>8702805.43699205</v>
      </c>
      <c r="T64" s="137">
        <f t="shared" si="30"/>
        <v>8665926.499703914</v>
      </c>
      <c r="U64" s="137">
        <f t="shared" si="30"/>
        <v>8626820.168168008</v>
      </c>
      <c r="V64" s="137">
        <f t="shared" si="30"/>
        <v>8585436.289368764</v>
      </c>
      <c r="W64" s="137">
        <f t="shared" si="30"/>
        <v>8541723.790574327</v>
      </c>
    </row>
    <row r="65" spans="1:23" ht="19.5" customHeight="1">
      <c r="A65" s="6">
        <v>26</v>
      </c>
      <c r="B65" s="2" t="s">
        <v>100</v>
      </c>
      <c r="C65" s="135" t="s">
        <v>101</v>
      </c>
      <c r="D65" s="136">
        <f>D6</f>
        <v>82096104</v>
      </c>
      <c r="E65" s="137">
        <f aca="true" t="shared" si="31" ref="E65:W65">E6</f>
        <v>98745859</v>
      </c>
      <c r="F65" s="138">
        <f t="shared" si="31"/>
        <v>93181726</v>
      </c>
      <c r="G65" s="139">
        <f t="shared" si="31"/>
        <v>92038961</v>
      </c>
      <c r="H65" s="140">
        <f t="shared" si="31"/>
        <v>102469367</v>
      </c>
      <c r="I65" s="137">
        <f t="shared" si="31"/>
        <v>96689473.715</v>
      </c>
      <c r="J65" s="137">
        <f t="shared" si="31"/>
        <v>98458487.39352499</v>
      </c>
      <c r="K65" s="137">
        <f t="shared" si="31"/>
        <v>98438950.35948485</v>
      </c>
      <c r="L65" s="137">
        <f t="shared" si="31"/>
        <v>100637089.4728847</v>
      </c>
      <c r="M65" s="137">
        <f t="shared" si="31"/>
        <v>103453154.5679656</v>
      </c>
      <c r="N65" s="137">
        <f t="shared" si="31"/>
        <v>104737399.07340261</v>
      </c>
      <c r="O65" s="137">
        <f t="shared" si="31"/>
        <v>106090080.06469034</v>
      </c>
      <c r="P65" s="137">
        <f t="shared" si="31"/>
        <v>105461458.31729925</v>
      </c>
      <c r="Q65" s="137">
        <f t="shared" si="31"/>
        <v>106801798.36061369</v>
      </c>
      <c r="R65" s="137">
        <f t="shared" si="31"/>
        <v>107931368.53266338</v>
      </c>
      <c r="S65" s="137">
        <f t="shared" si="31"/>
        <v>109340441.03566022</v>
      </c>
      <c r="T65" s="137">
        <f t="shared" si="31"/>
        <v>111074291.9923521</v>
      </c>
      <c r="U65" s="137">
        <f t="shared" si="31"/>
        <v>113008201.50320591</v>
      </c>
      <c r="V65" s="137">
        <f t="shared" si="31"/>
        <v>114797453.70443222</v>
      </c>
      <c r="W65" s="137">
        <f t="shared" si="31"/>
        <v>114957336.82686372</v>
      </c>
    </row>
    <row r="66" spans="1:23" ht="20.25" customHeight="1">
      <c r="A66" s="6">
        <v>27</v>
      </c>
      <c r="B66" s="2" t="s">
        <v>102</v>
      </c>
      <c r="C66" s="135" t="s">
        <v>144</v>
      </c>
      <c r="D66" s="136">
        <f>D39+D63</f>
        <v>86616093</v>
      </c>
      <c r="E66" s="137">
        <f aca="true" t="shared" si="32" ref="E66:W66">E39+E63</f>
        <v>119332654</v>
      </c>
      <c r="F66" s="138">
        <f t="shared" si="32"/>
        <v>98830628</v>
      </c>
      <c r="G66" s="139">
        <f t="shared" si="32"/>
        <v>93335083</v>
      </c>
      <c r="H66" s="140">
        <f t="shared" si="32"/>
        <v>106095617</v>
      </c>
      <c r="I66" s="138">
        <f t="shared" si="32"/>
        <v>92713902.99</v>
      </c>
      <c r="J66" s="138">
        <f t="shared" si="32"/>
        <v>93127189.08701</v>
      </c>
      <c r="K66" s="138">
        <f t="shared" si="32"/>
        <v>94926596.92331514</v>
      </c>
      <c r="L66" s="137">
        <f t="shared" si="32"/>
        <v>97245495.87716486</v>
      </c>
      <c r="M66" s="137">
        <f t="shared" si="32"/>
        <v>98584178.31532232</v>
      </c>
      <c r="N66" s="137">
        <f t="shared" si="32"/>
        <v>99942940.99005215</v>
      </c>
      <c r="O66" s="137">
        <f t="shared" si="32"/>
        <v>101322085.10490292</v>
      </c>
      <c r="P66" s="137">
        <f t="shared" si="32"/>
        <v>102721916.38147646</v>
      </c>
      <c r="Q66" s="137">
        <f t="shared" si="32"/>
        <v>104142745.1271986</v>
      </c>
      <c r="R66" s="137">
        <f t="shared" si="32"/>
        <v>105584886.30410658</v>
      </c>
      <c r="S66" s="137">
        <f t="shared" si="32"/>
        <v>107048659.59866817</v>
      </c>
      <c r="T66" s="137">
        <f t="shared" si="32"/>
        <v>108534389.49264818</v>
      </c>
      <c r="U66" s="137">
        <f t="shared" si="32"/>
        <v>111042405.3350379</v>
      </c>
      <c r="V66" s="137">
        <f t="shared" si="32"/>
        <v>112573041.41506346</v>
      </c>
      <c r="W66" s="137">
        <f t="shared" si="32"/>
        <v>114126637.0362894</v>
      </c>
    </row>
    <row r="67" spans="1:23" ht="19.5" customHeight="1">
      <c r="A67" s="6">
        <v>28</v>
      </c>
      <c r="B67" s="2" t="s">
        <v>103</v>
      </c>
      <c r="C67" s="135" t="s">
        <v>104</v>
      </c>
      <c r="D67" s="136">
        <f>D65-D66</f>
        <v>-4519989</v>
      </c>
      <c r="E67" s="137">
        <f aca="true" t="shared" si="33" ref="E67:W67">E65-E66</f>
        <v>-20586795</v>
      </c>
      <c r="F67" s="138">
        <f t="shared" si="33"/>
        <v>-5648902</v>
      </c>
      <c r="G67" s="139">
        <f t="shared" si="33"/>
        <v>-1296122</v>
      </c>
      <c r="H67" s="140">
        <f t="shared" si="33"/>
        <v>-3626250</v>
      </c>
      <c r="I67" s="138">
        <f t="shared" si="33"/>
        <v>3975570.725000009</v>
      </c>
      <c r="J67" s="138">
        <f t="shared" si="33"/>
        <v>5331298.306514993</v>
      </c>
      <c r="K67" s="138">
        <f t="shared" si="33"/>
        <v>3512353.4361697137</v>
      </c>
      <c r="L67" s="137">
        <f t="shared" si="33"/>
        <v>3391593.595719844</v>
      </c>
      <c r="M67" s="137">
        <f t="shared" si="33"/>
        <v>4868976.252643272</v>
      </c>
      <c r="N67" s="137">
        <f t="shared" si="33"/>
        <v>4794458.083350465</v>
      </c>
      <c r="O67" s="137">
        <f t="shared" si="33"/>
        <v>4767994.9597874135</v>
      </c>
      <c r="P67" s="137">
        <f t="shared" si="33"/>
        <v>2739541.935822785</v>
      </c>
      <c r="Q67" s="137">
        <f t="shared" si="33"/>
        <v>2659053.233415082</v>
      </c>
      <c r="R67" s="137">
        <f t="shared" si="33"/>
        <v>2346482.228556797</v>
      </c>
      <c r="S67" s="137">
        <f t="shared" si="33"/>
        <v>2291781.436992049</v>
      </c>
      <c r="T67" s="137">
        <f t="shared" si="33"/>
        <v>2539902.499703914</v>
      </c>
      <c r="U67" s="137">
        <f t="shared" si="33"/>
        <v>1965796.1681680083</v>
      </c>
      <c r="V67" s="137">
        <f t="shared" si="33"/>
        <v>2224412.2893687636</v>
      </c>
      <c r="W67" s="137">
        <f t="shared" si="33"/>
        <v>830699.7905743271</v>
      </c>
    </row>
    <row r="68" spans="1:23" ht="20.25" customHeight="1">
      <c r="A68" s="6">
        <v>29</v>
      </c>
      <c r="B68" s="2" t="s">
        <v>41</v>
      </c>
      <c r="C68" s="135" t="s">
        <v>42</v>
      </c>
      <c r="D68" s="136">
        <f>D27+D29+D42</f>
        <v>6097154</v>
      </c>
      <c r="E68" s="137">
        <f aca="true" t="shared" si="34" ref="E68:W68">E27+E29+E42</f>
        <v>24487671</v>
      </c>
      <c r="F68" s="138">
        <f t="shared" si="34"/>
        <v>7248616</v>
      </c>
      <c r="G68" s="139">
        <f t="shared" si="34"/>
        <v>3649956</v>
      </c>
      <c r="H68" s="140">
        <f t="shared" si="34"/>
        <v>8504720</v>
      </c>
      <c r="I68" s="137">
        <f t="shared" si="34"/>
        <v>1500000</v>
      </c>
      <c r="J68" s="137">
        <f t="shared" si="34"/>
        <v>0</v>
      </c>
      <c r="K68" s="137">
        <f t="shared" si="34"/>
        <v>0</v>
      </c>
      <c r="L68" s="137">
        <f t="shared" si="34"/>
        <v>0</v>
      </c>
      <c r="M68" s="137">
        <f t="shared" si="34"/>
        <v>0</v>
      </c>
      <c r="N68" s="137">
        <f t="shared" si="34"/>
        <v>0</v>
      </c>
      <c r="O68" s="137">
        <f t="shared" si="34"/>
        <v>0</v>
      </c>
      <c r="P68" s="137">
        <f t="shared" si="34"/>
        <v>0</v>
      </c>
      <c r="Q68" s="137">
        <f t="shared" si="34"/>
        <v>0</v>
      </c>
      <c r="R68" s="137">
        <f t="shared" si="34"/>
        <v>0</v>
      </c>
      <c r="S68" s="137">
        <f t="shared" si="34"/>
        <v>0</v>
      </c>
      <c r="T68" s="137">
        <f t="shared" si="34"/>
        <v>0</v>
      </c>
      <c r="U68" s="137">
        <f t="shared" si="34"/>
        <v>0</v>
      </c>
      <c r="V68" s="137">
        <f t="shared" si="34"/>
        <v>0</v>
      </c>
      <c r="W68" s="137">
        <f t="shared" si="34"/>
        <v>0</v>
      </c>
    </row>
    <row r="69" spans="1:23" ht="21" customHeight="1" thickBot="1">
      <c r="A69" s="7">
        <v>30</v>
      </c>
      <c r="B69" s="3" t="s">
        <v>43</v>
      </c>
      <c r="C69" s="141" t="s">
        <v>44</v>
      </c>
      <c r="D69" s="142">
        <f>D33+D37</f>
        <v>260004</v>
      </c>
      <c r="E69" s="143">
        <f aca="true" t="shared" si="35" ref="E69:W69">E33+E37</f>
        <v>1757742</v>
      </c>
      <c r="F69" s="144">
        <f t="shared" si="35"/>
        <v>1599714</v>
      </c>
      <c r="G69" s="145">
        <f t="shared" si="35"/>
        <v>1599714</v>
      </c>
      <c r="H69" s="146">
        <f t="shared" si="35"/>
        <v>4878470</v>
      </c>
      <c r="I69" s="143">
        <f t="shared" si="35"/>
        <v>3378470</v>
      </c>
      <c r="J69" s="143">
        <f t="shared" si="35"/>
        <v>3620270</v>
      </c>
      <c r="K69" s="143">
        <f t="shared" si="35"/>
        <v>2400870</v>
      </c>
      <c r="L69" s="143">
        <f t="shared" si="35"/>
        <v>2400870</v>
      </c>
      <c r="M69" s="143">
        <f t="shared" si="35"/>
        <v>2400870</v>
      </c>
      <c r="N69" s="143">
        <f t="shared" si="35"/>
        <v>2360870</v>
      </c>
      <c r="O69" s="143">
        <f t="shared" si="35"/>
        <v>2360870</v>
      </c>
      <c r="P69" s="143">
        <f t="shared" si="35"/>
        <v>2360870</v>
      </c>
      <c r="Q69" s="143">
        <f t="shared" si="35"/>
        <v>2360870</v>
      </c>
      <c r="R69" s="143">
        <f t="shared" si="35"/>
        <v>2140920</v>
      </c>
      <c r="S69" s="143">
        <f t="shared" si="35"/>
        <v>2140920</v>
      </c>
      <c r="T69" s="143">
        <f t="shared" si="35"/>
        <v>2140942</v>
      </c>
      <c r="U69" s="143">
        <f t="shared" si="35"/>
        <v>482400</v>
      </c>
      <c r="V69" s="143">
        <f t="shared" si="35"/>
        <v>482400</v>
      </c>
      <c r="W69" s="143">
        <f t="shared" si="35"/>
        <v>0</v>
      </c>
    </row>
  </sheetData>
  <sheetProtection/>
  <protectedRanges>
    <protectedRange sqref="I13:W13" name="Zakres1"/>
  </protectedRanges>
  <printOptions horizontalCentered="1"/>
  <pageMargins left="0.1968503937007874" right="0.2755905511811024" top="0.5905511811023623" bottom="0.5905511811023623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2011-11-15T08:58:48Z</cp:lastPrinted>
  <dcterms:created xsi:type="dcterms:W3CDTF">2011-09-21T07:53:45Z</dcterms:created>
  <dcterms:modified xsi:type="dcterms:W3CDTF">2011-11-15T09:18:14Z</dcterms:modified>
  <cp:category/>
  <cp:version/>
  <cp:contentType/>
  <cp:contentStatus/>
</cp:coreProperties>
</file>