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'Arkusz1'!$A$1:$J$721</definedName>
  </definedNames>
  <calcPr fullCalcOnLoad="1"/>
</workbook>
</file>

<file path=xl/sharedStrings.xml><?xml version="1.0" encoding="utf-8"?>
<sst xmlns="http://schemas.openxmlformats.org/spreadsheetml/2006/main" count="798" uniqueCount="389">
  <si>
    <r>
      <t xml:space="preserve"> w tym: </t>
    </r>
    <r>
      <rPr>
        <sz val="12"/>
        <rFont val="Arial CE"/>
        <family val="0"/>
      </rPr>
      <t>* Komputeryzacja ZNM</t>
    </r>
  </si>
  <si>
    <t>Wyszczególnienie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</si>
  <si>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</si>
  <si>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</si>
  <si>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</si>
  <si>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</si>
  <si>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</si>
  <si>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</si>
  <si>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</si>
  <si>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RAZEM    WYDATKI</t>
  </si>
  <si>
    <t>%</t>
  </si>
  <si>
    <t xml:space="preserve"> </t>
  </si>
  <si>
    <t>* odbitki map geodezyjnych, kserokopie map, filmy itp..</t>
  </si>
  <si>
    <t>pozostałe wydatki bieżące</t>
  </si>
  <si>
    <t>w tym: wydatki bieżące</t>
  </si>
  <si>
    <t xml:space="preserve">* rezerwa celowa </t>
  </si>
  <si>
    <t>świadczenia społeczne</t>
  </si>
  <si>
    <t>promocja i ochrona zdrowia</t>
  </si>
  <si>
    <t>* pozostałe wydatki bieżące</t>
  </si>
  <si>
    <t>dotacja dla jednostek nie zaliczanych do sektora finansów publicznych</t>
  </si>
  <si>
    <t>bieżące utrzymanie MOPS</t>
  </si>
  <si>
    <t>Wyk.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</si>
  <si>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</si>
  <si>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</si>
  <si>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</si>
  <si>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</si>
  <si>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</si>
  <si>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</si>
  <si>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</si>
  <si>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</si>
  <si>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</si>
  <si>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</si>
  <si>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</si>
  <si>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Gospodarka mieszkaniowa</t>
  </si>
  <si>
    <t>Różne jednostki obsługi gospodarki mieszkaniowej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</si>
  <si>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</si>
  <si>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</si>
  <si>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</si>
  <si>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</si>
  <si>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</si>
  <si>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</si>
  <si>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</si>
  <si>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</si>
  <si>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Obrona cywilna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</si>
  <si>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</si>
  <si>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</si>
  <si>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</si>
  <si>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</si>
  <si>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</si>
  <si>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</si>
  <si>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</si>
  <si>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nauka pływania</t>
  </si>
  <si>
    <t>Zespoły obsługi ekonomiczno-administracyjnej szkół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</si>
  <si>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</si>
  <si>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</si>
  <si>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</si>
  <si>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</si>
  <si>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</si>
  <si>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</si>
  <si>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Dodatki mieszkaniowe</t>
  </si>
  <si>
    <t>Ośrodki pomocy społecznej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</si>
  <si>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</si>
  <si>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</si>
  <si>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</si>
  <si>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</si>
  <si>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</si>
  <si>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</si>
  <si>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</si>
  <si>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</si>
  <si>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</si>
  <si>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</si>
  <si>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</si>
  <si>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</si>
  <si>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</si>
  <si>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</si>
  <si>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Obiekty sportowe</t>
  </si>
  <si>
    <t>Rezerwy ogólne i celowe</t>
  </si>
  <si>
    <t>Zasiłki i pomoc w naturze oraz składki na ubezpieczenia emerytalne i rentowe</t>
  </si>
  <si>
    <t>wynagrodzenia i pochodne</t>
  </si>
  <si>
    <t>* wynagrodzenia i pochodne</t>
  </si>
  <si>
    <t xml:space="preserve">* wynagrodzenia i pochodne </t>
  </si>
  <si>
    <t xml:space="preserve">w tym: </t>
  </si>
  <si>
    <t>2. Inne zadania</t>
  </si>
  <si>
    <t>1. Bieżące utrzymanie gimnazjów</t>
  </si>
  <si>
    <t xml:space="preserve">2. Inne zadania </t>
  </si>
  <si>
    <t>* na cele oświatowe</t>
  </si>
  <si>
    <t>wydatki bieżące:</t>
  </si>
  <si>
    <t>Bezpieczeństwo publiczne i ochrona przeciwpożarowa</t>
  </si>
  <si>
    <t>Rozliczenia z tyt. poręczeń i gwarancji udzielonych przez Skarb Państwa lub jednostkę samorządu terytorialnego</t>
  </si>
  <si>
    <t>wynagrodzenia i pochodne od wynagrodzeń</t>
  </si>
  <si>
    <t>Dowożenie uczniów do szkół</t>
  </si>
  <si>
    <t>Pomoc materialna dla uczniów</t>
  </si>
  <si>
    <t>* ZNM - prace remontowe</t>
  </si>
  <si>
    <t>Cmentarze</t>
  </si>
  <si>
    <t>bieżące utrzymanie zespołów</t>
  </si>
  <si>
    <t>Promocja jednostek samorządu terytorialnego</t>
  </si>
  <si>
    <t>Zwalczanie narkomanii</t>
  </si>
  <si>
    <t xml:space="preserve">zadania zlecone </t>
  </si>
  <si>
    <t xml:space="preserve">Miejski Ośrodek Sportu i Rekreacji </t>
  </si>
  <si>
    <t xml:space="preserve">  w tym:   wynagr. i pochodne od wynagr.</t>
  </si>
  <si>
    <t xml:space="preserve">                pozostałe wydatki bieżące</t>
  </si>
  <si>
    <t>dotacja dla Powiatu Brzeskiego</t>
  </si>
  <si>
    <t>w tym m. in.:</t>
  </si>
  <si>
    <t>zakup energii</t>
  </si>
  <si>
    <t>w tym m.in.:</t>
  </si>
  <si>
    <t>PSP nr 1</t>
  </si>
  <si>
    <t>* na realizację zadań własnych z zakresu zarządzania kryzysowego</t>
  </si>
  <si>
    <t>ZS nr 1 z OS</t>
  </si>
  <si>
    <t>w tym: wynagrodzenia i pochodne</t>
  </si>
  <si>
    <t>Ochrona zabytków i opieka nad zabytkami</t>
  </si>
  <si>
    <t xml:space="preserve">Analizy, ekspertyzy, opinie </t>
  </si>
  <si>
    <t>* podatki od nieruchomości położonych na terenie Gminy Skarbimierz (Pawłów)</t>
  </si>
  <si>
    <t>* ogłoszenia konkursowe</t>
  </si>
  <si>
    <t>prowadzenie poradnictwa i interwencji w zakresie przeciwdziałania przemocy w rodzinie (DDPS)</t>
  </si>
  <si>
    <t>* Ubezpieczenie OC dróg gminnych</t>
  </si>
  <si>
    <t>Turystyka</t>
  </si>
  <si>
    <t>Ośrodki informacji turystycznej</t>
  </si>
  <si>
    <t>Obrona narodowa</t>
  </si>
  <si>
    <t>Pozostałe wydatki obronne</t>
  </si>
  <si>
    <t>* Opieka nad bezdomnymi zwierzętami w tym m. in. opieka weterynaryjna, przytulisko, zakup karmy</t>
  </si>
  <si>
    <t xml:space="preserve">Plan </t>
  </si>
  <si>
    <t>Pobór podatków, opłat i niepodatkowych należności budżetowych</t>
  </si>
  <si>
    <t>* zbiórka przeterminowanych i niewykorzystanych lekarstw</t>
  </si>
  <si>
    <t>Świadczenia rodzinne, świadczenie z funduszu alimentacyjnego oraz składki na ubezpieczenia emerytalne i rentowe z ubezpieczenia społecznego</t>
  </si>
  <si>
    <t>* Budowa łącznika Łokietka - Trzech Kotwic w Brzegu</t>
  </si>
  <si>
    <t>* Remont i konserwacja przystanków komunikacji miejskiej</t>
  </si>
  <si>
    <t>Wydatki bieżące</t>
  </si>
  <si>
    <t>Wydatki majątkowe</t>
  </si>
  <si>
    <t xml:space="preserve"> 3. Wydatki majątkowe</t>
  </si>
  <si>
    <t>1. Bieżące utrzymanie przedszkoli</t>
  </si>
  <si>
    <t>* nauka pływania w przedszkolach</t>
  </si>
  <si>
    <t>3. Wydatki majątkowe</t>
  </si>
  <si>
    <t xml:space="preserve">* opłata czynszu za nieruchomości PP nr 8 </t>
  </si>
  <si>
    <t>* dokształcanie i doskonalenie nauczycieli - szkoły, gimnazja, przedszkola</t>
  </si>
  <si>
    <t>* Program Comenius - Zespół Szkół nr 1 z Oddziałami Sportowymi</t>
  </si>
  <si>
    <t>Zasiłki stałe</t>
  </si>
  <si>
    <t xml:space="preserve">zadania własne </t>
  </si>
  <si>
    <t>* składka na rzecz EKOGOK</t>
  </si>
  <si>
    <t xml:space="preserve"> w tym: wynagrodzenia i pochodne od wynagrodzeń</t>
  </si>
  <si>
    <t xml:space="preserve">Zarząd Nieruchomości Miejskich </t>
  </si>
  <si>
    <t>w zł</t>
  </si>
  <si>
    <r>
      <t>Wydatki majątkowe</t>
    </r>
    <r>
      <rPr>
        <sz val="12"/>
        <rFont val="Arial CE"/>
        <family val="0"/>
      </rPr>
      <t xml:space="preserve">                                  </t>
    </r>
  </si>
  <si>
    <t>Obsługa papierów wartościowych, kredytów i pożyczek jednostek samorządu terytorialnego</t>
  </si>
  <si>
    <t>Dochody od osób prawnych, od osób fizycznych i od innych jednostek nieposiadających osobowości prawnej oraz wydatki związane z ich poborem</t>
  </si>
  <si>
    <t>Zadania w zakresie przeciwdziałania przemocy w rodzinie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</si>
  <si>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</si>
  <si>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Wykonanie</t>
  </si>
  <si>
    <t>zadania zlecone - zwrot podatku akcyzowego</t>
  </si>
  <si>
    <t>1. Bieżące utrzymanie szkół podstawowych</t>
  </si>
  <si>
    <t>zadania własne - program "Pomoc państwa w zakresie dożywiania"</t>
  </si>
  <si>
    <t>* Opracowanie "Projektu założeń do planu zaopatrzenia w ciepło, energię elektryczną i paliwa gazowe"</t>
  </si>
  <si>
    <t>* nagrody dla uczestników imprez sportowych</t>
  </si>
  <si>
    <t xml:space="preserve">Wydatki majątkowe </t>
  </si>
  <si>
    <t>Jednostki specjalistycznego poradnictwa, mieszkania chronione i ośrodki interwencji kryzysowej</t>
  </si>
  <si>
    <t>Usługi opiekuńcze i specjalistyczne usługi opiekuńcze</t>
  </si>
  <si>
    <t>* Opracowanie dokumentacji projekt. na bud. oświetlenia ulic</t>
  </si>
  <si>
    <t>* Przebudowa ulicy Wiedeńskiej w Brzegu</t>
  </si>
  <si>
    <t>* Budowa chodnika łączącego ulice Szymanowskiego i Starobrzeską</t>
  </si>
  <si>
    <t>* Termomodernizacja budynków użyteczności publicznej</t>
  </si>
  <si>
    <t>PP nr 8</t>
  </si>
  <si>
    <t>PP nr 7</t>
  </si>
  <si>
    <t>* Program Kompetencje Kluczowe</t>
  </si>
  <si>
    <t>dowożenie niepełnosprawnych uczniów do szkół  i opieka w drodze do szkoły</t>
  </si>
  <si>
    <t>* Projekt "Twój krok do lepszego jutra"</t>
  </si>
  <si>
    <t>* Opracowanie "Raportu z efektywności wykorzystania energii elektrycznej"</t>
  </si>
  <si>
    <t>* Prace remontowe w przytulisku dla zwierząt</t>
  </si>
  <si>
    <t>* Dokumentacja projektowa na wykonanie uzbrojenia pod budownictwo mieszkaniowe w Brzegu w rejonie ulic: Lompy-Zielona</t>
  </si>
  <si>
    <t xml:space="preserve">* Uzbrojenie terenów pod budownictwo mieszkaniowe w Brzegu w rejonie ulic: Lompy-Zielona </t>
  </si>
  <si>
    <t>*zadania zlecone - przyłącze do Internetu</t>
  </si>
  <si>
    <t>* składki na ubezpieczenia i FP od stypendiów</t>
  </si>
  <si>
    <t>* środki przy BO na dokształcanie i doskonalenie nauczycieli (szkoły, gimnazja, przedszkola) - doradztwo metodyczne</t>
  </si>
  <si>
    <t>Urzędy naczelnych organów władzy państwowej, kontroli i ochrony prawa</t>
  </si>
  <si>
    <t>Inkaso opłaty skarbowej - wynagrodzenia</t>
  </si>
  <si>
    <t>wydatki na przeciwdziałanie narkomanii DDPS</t>
  </si>
  <si>
    <t>* Instalacja i uruchomienie monitoringu zużycia mediów</t>
  </si>
  <si>
    <t>* Projekt założeń do planu zaopatrzenia w ciepło, energię elektryczną i paliwa gazowe</t>
  </si>
  <si>
    <t>Zadania w zakresie kultury fizycznej</t>
  </si>
  <si>
    <t>Kultura fizyczna</t>
  </si>
  <si>
    <t>Straż gminna (miejska)</t>
  </si>
  <si>
    <t>Hala sportowa, stadion, kryta pływania i kąpielisko odkryte</t>
  </si>
  <si>
    <t>Wpływy i wydatki związane z gromadzeniem środków z opłat 
i kar za korzystanie ze środowiska</t>
  </si>
  <si>
    <t>01.01.2011 r.</t>
  </si>
  <si>
    <t>* Najem lokalu mieszkalnego z tytułu uznania żołnierza za samotnego</t>
  </si>
  <si>
    <t>* Operaty szacunkowe, podziały geodezyjne itp.</t>
  </si>
  <si>
    <t>* Podatek od nieruchomości</t>
  </si>
  <si>
    <t>* Budowa sieci wodociągowej do zasilania w wodę budynków mieszkalnych przy ul. Piastowskiego 32a i 36-50 w Brzegu</t>
  </si>
  <si>
    <t>* Zadania zlecone (USC, OC, ewidencja ludności, wydawanie dowodów osobistych, ewidencja dział. gosp.)  - wynagrodzenia i pochodne od wynagrodzeń</t>
  </si>
  <si>
    <t>Spis powszechny i inne</t>
  </si>
  <si>
    <t>Zadania zlecone - powszechny spis ludności</t>
  </si>
  <si>
    <t>* Projekt "Akademia Kreatywnego Ekomalucha"</t>
  </si>
  <si>
    <t>PP nr 2 - remont izolacji pionowej ścian fundamentowych budynku</t>
  </si>
  <si>
    <t>* Projekt "Opolska e-szkoła, szkołą ku przyszłości" (PG nr 1)</t>
  </si>
  <si>
    <t>Utrzymanie świetlic</t>
  </si>
  <si>
    <t>* Stypendia dla uczniów za wyniki w nauce i osiągnięcia sportowe</t>
  </si>
  <si>
    <t>* Stypendia socjalne i zasiłki dla uczniów</t>
  </si>
  <si>
    <t>* Odwodnienie, rowy melioracyjne</t>
  </si>
  <si>
    <t>* Opłaty związane z wprowadzeniem ścieków opadowych do wód lub ziemi</t>
  </si>
  <si>
    <t>* Koszty energii i konserwacji</t>
  </si>
  <si>
    <t>* Wykonanie audytów i przygotowanie przetargu na zakup energii elektrycznej dla jednostek organizacyjnych</t>
  </si>
  <si>
    <t xml:space="preserve">* Realizacja zadań z zakresu utrzymania terenów zieleni na terenie gminy </t>
  </si>
  <si>
    <t>* Wykonanie zadań w ramach realizacji Planu gospodarki odpadami, Programu ochrony środowiska oraz Programu edukacji ekologicznej</t>
  </si>
  <si>
    <t>* Budowa fontanny z tymczasowym usytuowaniem rzeźby GRUPA TRYTONA w Brzegu</t>
  </si>
  <si>
    <t xml:space="preserve">* Dotacja dla Brzeskiego Centrum Kultury </t>
  </si>
  <si>
    <t>* Organizacja imprez kulturalnych - Dni Księstwa Brzeskiego</t>
  </si>
  <si>
    <t>* Organizacja festiwali i imprez kulturalnych</t>
  </si>
  <si>
    <t>* Remont budynku BCK</t>
  </si>
  <si>
    <t xml:space="preserve">* Dotacja dla MBP </t>
  </si>
  <si>
    <t>* Dotacja dla podmiotów niezaliczanych do sektora finansów publicznych na organizację festiwali i imprez kulturalnych</t>
  </si>
  <si>
    <t>*MOSiR - realizacja Wieloletniego Programu Szkolenia Sportowego Dzieci i Młodzieży</t>
  </si>
  <si>
    <t>* Program Kompetencje Kluczowe - zadanie zakończone</t>
  </si>
  <si>
    <t>30.09.2011 r.</t>
  </si>
  <si>
    <t>Przewidywane</t>
  </si>
  <si>
    <t>wykonanie</t>
  </si>
  <si>
    <t>Projekt</t>
  </si>
  <si>
    <t>2012 r.</t>
  </si>
  <si>
    <t>2011 r. w zł</t>
  </si>
  <si>
    <t>Zapotrzebowanie</t>
  </si>
  <si>
    <t xml:space="preserve"> na 2012 r.</t>
  </si>
  <si>
    <t xml:space="preserve">* Remonty nawierzchni dróg gminnych i mostów  </t>
  </si>
  <si>
    <t>* Utrzymanie ulic w tym: remonty cząstkowe, oznakowanie pionowe i poziome, mikrodywaniki, likwidacja barier architektonicznych</t>
  </si>
  <si>
    <t>* Dokumentacja projektowa na przebudowę 
i budowę dróg gminnych</t>
  </si>
  <si>
    <t>* Opracowanie ekspertyz i analiz, w tym pomiary natężenia ruchu na drogach gminnych</t>
  </si>
  <si>
    <t>* Przebudowa ulicy Kilińskiego w Brzegu</t>
  </si>
  <si>
    <t>* Przebudowa drogi wewnętrznej i terenu placu manewrowego przy ul. Piastowskiej w Brzegu</t>
  </si>
  <si>
    <t>* Przebudowa ulic: Platanowej, Lipowej, Topolowej i Konopnickiej w Brzegu</t>
  </si>
  <si>
    <t>* Rewitalizacja przestrzeni miejskiej centrum miasta Brzeg</t>
  </si>
  <si>
    <t xml:space="preserve">* Dotacja celowa na dofinansowanie zadań z zakresu turystyki zleconych do realizacji stowarzyszeniom </t>
  </si>
  <si>
    <t>* Zakup inwentaryzacji budowlanych dla wspólnot mieszkaniowych</t>
  </si>
  <si>
    <t xml:space="preserve">* Zwrot zwaloryzowanych kaucji mieszkaniowych </t>
  </si>
  <si>
    <t>* ZNM - zmiana sposobu użytkowania pomieszczeń na potrzeby MOPS w budynku na nieruchomości położonej przy ul. B.Chrobrego 32 - adaptacja pomieszczeń na kondygnacji parteru i II piętra</t>
  </si>
  <si>
    <t xml:space="preserve">* Opłaty sądowe za wpisy w księgach wieczystych, opłaty za odpisy z ksiąg i inne </t>
  </si>
  <si>
    <t>* Odszkodowania na rzecz osób fizycznych z tytułu zajęcia nieruchomości</t>
  </si>
  <si>
    <t>* ZNM - projekt budowy budynku socjalnego na 60 mieszkań</t>
  </si>
  <si>
    <t>* ZNM - remont lokali gminnych zajmowanych przez rodziny pochodzenia romskiego</t>
  </si>
  <si>
    <t>* Zmiana miejscowego planu zagospodarowania przestrzennego dla obszarów: I-ograniczonego od wschodu ul. Armii Krajowej, od północyul. Kardynała Wyszyńskiego, od zachodu ul. Myczkowskiego oraz od południa magistralną linią kolejową; II - ograniczonego od wschodu ul. Lwowską, od północy ul. Słoneczną, od zachodu rowem K-7 oraz od południa magistralną linią kolejową; III - ograniczonego od wschodu ul. Starobrzeską, od północy magistralną linią kolejową, od zachodu ul. 1 Maja oraz od południa ul. Słowackiego</t>
  </si>
  <si>
    <t>* Zmiana miejscowego planu zagospodarowania przestrzennego dla obszaru ograniczonego od północy ul. Kopernika, od zachodu ul. Szymanowskiego, od południa i wschodu istniejącymi terenami produkcyjno-magazynowo-składowymi</t>
  </si>
  <si>
    <t>* Zmiana miejscowego planu dla obszaru położonego w północno-zachodniej części miasta stanowiącego kontynuację zabudowy tzw. Osiedla zachodniego, w zakresie wysokości projektowanej zabudowy</t>
  </si>
  <si>
    <t>* Zmiana miejscowego planu dla obszaru położonego przy ul. Włościańskiej - Kochanowskiego-Kusocińskiego-Konopnickiej</t>
  </si>
  <si>
    <t>* Zmiana studium uwarunkowań i kierunków zagospodarowania przestrzennego gminy dla obszaru przy ul. Włościańskiej</t>
  </si>
  <si>
    <t>* Zmiana planu dla wschodniej części Wysp Odrzańskich</t>
  </si>
  <si>
    <t>* Wykonanie chloratora na cmentarzu przy ul. Starobrzeskiej</t>
  </si>
  <si>
    <t>* Rozbudowa cmentarza przy ul. Starobrzeskiej w Brzegu</t>
  </si>
  <si>
    <t>* Wykonanie ogrodzenia na cmentarzu przu ul. Makarskiego</t>
  </si>
  <si>
    <t>* Bieżące utrzymanie cmentarzy</t>
  </si>
  <si>
    <t>* Zadania realizowane na podstawie porozumień z org. admin. rządowej (utrzymanie cmentarzy wojennych)</t>
  </si>
  <si>
    <t>* Remont i zabezpieczenie kapliczki na cmentarzu przy ul. Ofiar Katynia</t>
  </si>
  <si>
    <t>* Wykonanie alejek na cmentarzach przy ul. Starobrzeskiej i ul. Ks. Makarskiego</t>
  </si>
  <si>
    <t>* Odrestaurowanie kwatery wojennej i pomnika  na cmentarzu przy ul. Ofiar Katynia</t>
  </si>
  <si>
    <t>* Komputeryzacja Urzędu Miasta</t>
  </si>
  <si>
    <t>* Konserwacja systemów komputerowych w UM</t>
  </si>
  <si>
    <t>* Diety i delegacje radnych</t>
  </si>
  <si>
    <t>* Wynagrodzenia bezosobowe</t>
  </si>
  <si>
    <t>* Inne wydatki rzeczowe</t>
  </si>
  <si>
    <t>* Opinie prawne na potrzeby Rady Miejskiej</t>
  </si>
  <si>
    <t>* Wynagrodzenia i pochodne od wynagrodzeń pracowników UM</t>
  </si>
  <si>
    <t>* Bieżące utrzymanie Ratusza i budynku przy ul. Robotniczej</t>
  </si>
  <si>
    <t>* Remonty bieżące w Ratuszu i budynku przy ul. Robotniczej</t>
  </si>
  <si>
    <t>* Nagrody Burmistrza dla Jubilatów - USC</t>
  </si>
  <si>
    <t>* Zakup energii elektrycznej dla obiektów Gminy Miasto Brzeg</t>
  </si>
  <si>
    <t>* Opracowanie projektu remontu dachu budynku A Urzędu Miasta</t>
  </si>
  <si>
    <t>* Opracowanie projektu remontu dachu budynku Ratusza</t>
  </si>
  <si>
    <t>* System obiegu dokumentów (zakup macierzy dyskowej w 2012 r.)</t>
  </si>
  <si>
    <t>Urzędy naczelnych organów władzy państwowej, kontroli i ochrony prawa oraz sądownictwa</t>
  </si>
  <si>
    <t>Wybory do Sejmu i Senatu</t>
  </si>
  <si>
    <t>Zarządzanie kryzysowe</t>
  </si>
  <si>
    <t>* Zadanie zlecone: koszty prowadzenia stałego rejestru wyborców - wynagrodzenia i pochodne od wynagr.</t>
  </si>
  <si>
    <t xml:space="preserve">* Zadanie zlecone - wybory do Sejmu i Senatu </t>
  </si>
  <si>
    <t>* Zadania zlecone</t>
  </si>
  <si>
    <t>* Zadania własne</t>
  </si>
  <si>
    <t>* Składka na rzecz Stowarzyszenia MiG Nadodrzańskich</t>
  </si>
  <si>
    <t>* Składka członkowska Miasta Brzeg dla Związku Miast Polskich</t>
  </si>
  <si>
    <t>* Wydatki związane z procesem sprzedaży akcji ECO S.A.</t>
  </si>
  <si>
    <t>* Wydatki związane z promocją miasta</t>
  </si>
  <si>
    <t>* Przygotowanie dokumentacji (np. studia wykonalności projektów)</t>
  </si>
  <si>
    <t>* Zadania własne - wydatki bieżące w tym m.in.utrzymanie i konserwacja pomieszczeń magazynu sprzętu OC, konkurs dla dzieci i młodzieży z zakresu obrony cywilnej</t>
  </si>
  <si>
    <t>* Wynagrodzenia i pochodne od wynagrodzeń</t>
  </si>
  <si>
    <t>* Pozostałe wydatki bieżące</t>
  </si>
  <si>
    <r>
      <t xml:space="preserve">* </t>
    </r>
    <r>
      <rPr>
        <sz val="12"/>
        <rFont val="Arial CE"/>
        <family val="0"/>
      </rPr>
      <t>Zakup elektronicznych syren alarmowych</t>
    </r>
  </si>
  <si>
    <r>
      <t xml:space="preserve">* </t>
    </r>
    <r>
      <rPr>
        <sz val="12"/>
        <rFont val="Arial CE"/>
        <family val="0"/>
      </rPr>
      <t>Naprawa i wymiana mechanicznych urządzeń sterujących syrenami na elektroniczne urządzenia</t>
    </r>
  </si>
  <si>
    <t>* Realizacja programów bezpieczeństwa dzieci i młodzieży "Bezpieczne wakacje -patrole akweny wodne"</t>
  </si>
  <si>
    <t>* Budowa systemu monitoringu miejskiego</t>
  </si>
  <si>
    <t>Wpływy do wyjaśnienia</t>
  </si>
  <si>
    <t>* Odsetki od kredytów i pożyczek długoterminowych, obsługa obligacji</t>
  </si>
  <si>
    <t>* Zobowiązania z tyt. poręczenia pożyczki dla PWiK Sp. z o.o.</t>
  </si>
  <si>
    <t>* Niewłaściwe obciążenia oraz uznania rachunków bieżących</t>
  </si>
  <si>
    <t>* Nagrody PRIMUS INTER PARES (BO)</t>
  </si>
  <si>
    <t>* Bieżące wydatki, w tym zakup kwiatów z okazji uroczystości np. nadania awansu zawod., wręczenia nagrody Burmistrza, usługi gastronomiczne itp. (BO)</t>
  </si>
  <si>
    <t>* Dofinansowanie programów z funduszy strukturalnych UE - wkład własny (BO)</t>
  </si>
  <si>
    <t>* Doposażenie ZS nr 1 z OS - przygotowanie na przyjęcie 6 latków - zakup wyposażenia do sali dydatkycznej i remont toalet</t>
  </si>
  <si>
    <t xml:space="preserve">* Projekt "Opolska e-szkoła, szkołą ku przyszłości" (PSP nr 5) </t>
  </si>
  <si>
    <t>* Remont instalacji hydrantowej i p.poż. PSP nr 3</t>
  </si>
  <si>
    <t xml:space="preserve">* Remont instalacji hydrantowej i p.poż. PSP nr 5 </t>
  </si>
  <si>
    <t>* Dokumentacje projektowe dla budynków PSP</t>
  </si>
  <si>
    <t xml:space="preserve">* Projekt "Opolska e-szkoła, szkołą ku przyszłości" (PSP nr 5) - dotacja SW </t>
  </si>
  <si>
    <t>* Budowa placu zabaw przy ZS nr 1 z OS</t>
  </si>
  <si>
    <t>* Częsiowy remont instalacji c.o w PSP nr 3</t>
  </si>
  <si>
    <t>* Termomodernizacja budynków szkół podstawowych</t>
  </si>
  <si>
    <t>* dofinansowanie programów z funduszy strukturalnych UE - wkład własny (BO)</t>
  </si>
  <si>
    <r>
      <t xml:space="preserve">* </t>
    </r>
    <r>
      <rPr>
        <sz val="12"/>
        <rFont val="Arial CE"/>
        <family val="0"/>
      </rPr>
      <t>Montaż baterii z mieszaczami temperatury w PP nr 7</t>
    </r>
  </si>
  <si>
    <t>* Termomodernizacja budynków przedszkoli</t>
  </si>
  <si>
    <t>* Zakup urządzeń na plac zabaw w PP nr 7</t>
  </si>
  <si>
    <t>* Dokumentacja projektowa dla budynków PP (BI)</t>
  </si>
  <si>
    <t>* Projekt "Mini Akademia Przedszkolaka"</t>
  </si>
  <si>
    <t>* dotacja z budżetu dla punktu przedszkolnego "Akademia Skrzata" (BO)</t>
  </si>
  <si>
    <t>* Bieżące wydatki, w tym: zakup kwiatów i poczęstunku z okazji DEN, wręczenia nagrody Burmistrza, nadania stopnia itp. (BO)</t>
  </si>
  <si>
    <t>* Zakup do przedszkoli wyposażenia i sprzętu kuchennego</t>
  </si>
  <si>
    <t>* Remont kuchni wraz z zapleczem w PP nr 10</t>
  </si>
  <si>
    <t>* Wkład własny w ramach umowy partnerstwa na rzecz realizacji Projektu "Sprawny Samorząd. Wdrażanie usprawnień zarządczych w zarządzaniu jednostką samorządu terytorialnego w 10 urzędach gmin i 2 starostwach powiatowych z terenu województwa opolskiego i śląskiego" w ramach Programu Operacyjnego Kapitał Ludzki - wynagrodzenia i pochodne</t>
  </si>
  <si>
    <t>* PG nr 1 - zakup pomocy naukowych (zgodnie z porozum.)</t>
  </si>
  <si>
    <t>* PG nr 3 - zakup pomocy naukowych (zgodnie z porozum.)</t>
  </si>
  <si>
    <t>* ZS nr 1 z OS - zakup pomocy naukowych (zg. z porozum.)</t>
  </si>
  <si>
    <t>* ZS nr 2 z OI - zakup pomocy naukowych (zg. z porozum.)</t>
  </si>
  <si>
    <t>* PG nr 1 - wymiana instalacji elektrycznej</t>
  </si>
  <si>
    <t>* konserwacja i utrzymanie w czystości boiska ze sztucznej trawy, boiska do gry w softball oraz boiska wielofunkcyjnego (ORLIK 2012) (BO)</t>
  </si>
  <si>
    <t>* dokumentacje projektowe dla budynków gimnazjów (BBI)</t>
  </si>
  <si>
    <t>* Projekt "Opolska e-szkoła, szkołą ku przyszłości" (PG nr 1) - dotacja SW</t>
  </si>
  <si>
    <t>* Termomodernizacja budynków gimnazjów</t>
  </si>
  <si>
    <t>* Bieżące wydatki, w tym: zakup kwiatów i poczęstunku z okazji DEN, wręczenia nagrody Burmistrza, nadania stopnia, przewóz delegacji uczniów itp. (BO)</t>
  </si>
  <si>
    <t>* Zakup centrali telefonicznej w PG nr 1</t>
  </si>
  <si>
    <t>* Zadania zlecone - Program na rzecz społeczności romskiej -ubezpieczenie uczniów romskich od nieszczęśliwych wypadków</t>
  </si>
  <si>
    <t>* "Wyprawka szkolna" - rządowy program pomocy uczniom</t>
  </si>
  <si>
    <t>zadania zlecone - MOPS</t>
  </si>
  <si>
    <t>* Zakup patelnii elektrycznej</t>
  </si>
  <si>
    <t>* Zakup szafy chłodniczej</t>
  </si>
  <si>
    <t>* Zakup kuchenki gazowej 4 palnikowej</t>
  </si>
  <si>
    <t>* Zakup sprzętu komputerowego dla MOPS w Brzegu</t>
  </si>
  <si>
    <t>* zadania zlecone - świadczenia społeczne - wynagrodzenie za sprawowanie opieki</t>
  </si>
  <si>
    <t>* Projekt "Twój krok do lepszego jutra"POKL - wkład własny</t>
  </si>
  <si>
    <t>Prowadzenie Punktu Pomocy Kryzysowej dla Ofiar Przemocy- DDPS</t>
  </si>
  <si>
    <t>Usuwanie skutków klęsk żywiołowych</t>
  </si>
  <si>
    <t>zadania zlecone - usuwanie skutków powodzi</t>
  </si>
  <si>
    <t>* Zakup zmywarki</t>
  </si>
  <si>
    <t>* Ekspertyza stanu istniejącego i opracowanie koncepcji odwodnienia terenu przy ul. Oławskiej</t>
  </si>
  <si>
    <t>* Projekt modernizacji systemu odprowadzenia wód opadowych z ulicy Grobli do rzeki Odry</t>
  </si>
  <si>
    <t>* Projekt budowy rowu przydrożnego odwadniającego drogę na działce nr 87 oraz drogę na działce 149/1 (ul. Filozofów)</t>
  </si>
  <si>
    <t>* Modernizacja systemu odprowadzajacego wody opadowe z ulicy Grobli w Brzegu</t>
  </si>
  <si>
    <t>* Utrzymanie i remont szaletów miejskich</t>
  </si>
  <si>
    <t>* Dokumentacja projektowo-kosztorysowa na remont szaletów lub budowę szaletów</t>
  </si>
  <si>
    <t>* Letnie i zimowe oczyszczanie ulic</t>
  </si>
  <si>
    <t>* Remont koszy przyulicznych</t>
  </si>
  <si>
    <t>* Kontynuowanie programu pilotażowego dotyczącego zapobiegania zanieczyszczeniu ulic, placów i terenów zieleni przez zwierzęta</t>
  </si>
  <si>
    <t>* Usuwanie zwłok padłych bezdomnych zwierząt z terenów gminy</t>
  </si>
  <si>
    <t>* Bieżace utrzymanie terenów zielonych</t>
  </si>
  <si>
    <t>* Prace remontowe na terenach zieleni</t>
  </si>
  <si>
    <t>* Zadania wynikające z programu ochrony środowiska w zakresie zieleni miejskiej</t>
  </si>
  <si>
    <t>* Utrzymanie Parku Wolności</t>
  </si>
  <si>
    <t>* Odbudowa stawu rekreacyjnego w Parku Wolności w Brzegu - etap I</t>
  </si>
  <si>
    <t>* Odbudowa stawu rekreacyjnego w Parku Wolności w Brzegu - etap II</t>
  </si>
  <si>
    <t>Konserwacja majątku energetycznego TAURON EnergiaPro</t>
  </si>
  <si>
    <t>Konserwacja i usuwanie dewastacji majątku energetycznego Gminy</t>
  </si>
  <si>
    <t>Modernizacja miejskiego oświetlenia ulicznego w Brzegu</t>
  </si>
  <si>
    <t>* Zakup, montaż i demontaż oświetlenia świątecznego miasta</t>
  </si>
  <si>
    <t>* Opłata za zużytą wodę na cele przeciwpożarowe</t>
  </si>
  <si>
    <t>* Przygotowanie terenu i zakup urządzeń zabawowych na place zabaw przy ul. M.Konopnickiej i Oławskiej</t>
  </si>
  <si>
    <t>* Uzbrojenie terenów pod budownictwo mieszkaniowe w Brzegu w rejonie ulic: Brzechwy-Poznańska</t>
  </si>
  <si>
    <t>* Budowa placu zabaw przy ul. M. Konopnickiej 27 w Brzegu</t>
  </si>
  <si>
    <t xml:space="preserve">* Budowa ogrodzenia placu zabaw przy ul. Oławskiej w Brzegu </t>
  </si>
  <si>
    <t>* Urządzenie izolatki dla zwierząt na terenie przytuliska wraz z ogrodzeniem</t>
  </si>
  <si>
    <t>* Pomoc finansowa w formie dotacji dla Powiatu Brzeskiego na utworzenie stanowiska pracy ds. ochrony zabytków</t>
  </si>
  <si>
    <t>* Zakup usług remontowo-konserwatorskich dotyczących obiektów zabytkowych będących w użytkowaniu jednostek budżetowych</t>
  </si>
  <si>
    <t>* Dotacja na utrzymanie Punktu Informacji Turystycznej</t>
  </si>
  <si>
    <t xml:space="preserve">* Nagrody dla twórców i animatorów z dziedziny kultury </t>
  </si>
  <si>
    <t>* Instytucje kultury - organizacja festiwali i imprez kulturalnych</t>
  </si>
  <si>
    <t>* Modernizacja dachu hali sportowej</t>
  </si>
  <si>
    <t>* Zakup odkurzacza wodnego służącego do czyszczenia niecek w krytej pływalni</t>
  </si>
  <si>
    <t>* Dotacja na realizację zadań publicznych z zakresu kultury fizycznej, sportu i turystyki przez podmioty niezaliczane do sektora finansów publicznych</t>
  </si>
  <si>
    <t>* Nagrody i wyróżnienia dla trenerów i sportowców</t>
  </si>
  <si>
    <t>* Stypendia dla sportowców</t>
  </si>
  <si>
    <t>* Dotacja dla Powiatu Brzeskiego na dofinansowanie stanowiska koordynatora ds. młodzieży</t>
  </si>
  <si>
    <t>MATERIAŁ INFORMACYJNY - PLAN WYDATKÓW BUDŻETOWYCH NA 2012 ROK</t>
  </si>
  <si>
    <t>Wynagrodzenia i pochodne (prace komisji egzaminacyjnych)</t>
  </si>
  <si>
    <t xml:space="preserve">* Odpis na zakładowy fundusz świadczeń socjalnych dla nauczycieli emerytów i rencistów                   </t>
  </si>
  <si>
    <t>* Zakup podręczników i przyborów szkolnych dla uczniów romskich - szkoły podstawowe i gimnazja</t>
  </si>
  <si>
    <t>* Roczny abonament pakietów programów komputerowych "Zintegrowany system zarządzania oświatą"</t>
  </si>
  <si>
    <t>* Roczny abonament "Jednorazowy dodatek uzupełniający Optivum"</t>
  </si>
  <si>
    <t>* Budowa sali gimnastycznej przy PSP nr 5 w Brzegu</t>
  </si>
  <si>
    <t>* Dotacja na zakup środków trwałych</t>
  </si>
  <si>
    <t>* Wymiana zestawu zabawowego wraz z domkiem na placu zabaw w PP nr 7 (Plan BO 2011 r. 30.000 zł, środki przekazane 25.000 zł)</t>
  </si>
  <si>
    <t xml:space="preserve">* Remonty bieżące w przedszkolach i realizacja zaleceń pokontrolnych (Plan BO 2011 r. 62.500 zł, środki przekazane - 14.613 zł) </t>
  </si>
  <si>
    <t xml:space="preserve">* Remonty bieżące w szkołach i realizacja zaleceń pokontrolnych (Plan BO 2011 r. 100.000 zł,  środki przekazane - 100.000 zł) </t>
  </si>
  <si>
    <t xml:space="preserve">* Remonty bieżące w gimnazjach i realizacja zaleceń pokontrolnych (Plan BO 2011 r. 61.600 zł, środki przekazane - 7.600 zł) </t>
  </si>
  <si>
    <r>
      <t xml:space="preserve">* </t>
    </r>
    <r>
      <rPr>
        <b/>
        <sz val="12"/>
        <rFont val="Arial CE"/>
        <family val="0"/>
      </rPr>
      <t>PP nr 1</t>
    </r>
    <r>
      <rPr>
        <sz val="12"/>
        <rFont val="Arial CE"/>
        <family val="0"/>
      </rPr>
      <t xml:space="preserve"> - Zakup okapu kuchennego</t>
    </r>
  </si>
  <si>
    <r>
      <t xml:space="preserve">* </t>
    </r>
    <r>
      <rPr>
        <b/>
        <sz val="12"/>
        <rFont val="Arial CE"/>
        <family val="0"/>
      </rPr>
      <t>PP nr 4</t>
    </r>
    <r>
      <rPr>
        <sz val="12"/>
        <rFont val="Arial CE"/>
        <family val="0"/>
      </rPr>
      <t xml:space="preserve"> - Zakup obieraczki do ziemniaków </t>
    </r>
  </si>
  <si>
    <r>
      <t xml:space="preserve">* </t>
    </r>
    <r>
      <rPr>
        <b/>
        <sz val="12"/>
        <rFont val="Arial CE"/>
        <family val="0"/>
      </rPr>
      <t>PP nr 7</t>
    </r>
    <r>
      <rPr>
        <sz val="12"/>
        <rFont val="Arial CE"/>
        <family val="0"/>
      </rPr>
      <t xml:space="preserve"> - Zakup sprzętu produkcyjnego do kuchni - taboret i kuchnia gazowa</t>
    </r>
  </si>
  <si>
    <t>* Budowa wewnętrznego dźwigu towarowego w PP nr 4</t>
  </si>
  <si>
    <t>* Gminna Komisja Urbanistyczno - Architektoniczna - wynagrodzenia i pochodne</t>
  </si>
  <si>
    <t>* Zmiana planu miejscowego dla obszaru wysp odrzańskich po zach. str. ul. Krakusa</t>
  </si>
  <si>
    <t>* Inkaso opłaty skarbowej - wynagrodzenia</t>
  </si>
  <si>
    <t>*Dotacja dla BCK na zakup wyposażenia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</si>
</sst>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0"/>
    </font>
    <font>
      <b/>
      <i/>
      <sz val="12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7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174" fontId="2" fillId="0" borderId="14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74" fontId="2" fillId="0" borderId="18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174" fontId="1" fillId="0" borderId="18" xfId="0" applyNumberFormat="1" applyFont="1" applyBorder="1" applyAlignment="1">
      <alignment horizontal="right"/>
    </xf>
    <xf numFmtId="174" fontId="1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4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74" fontId="2" fillId="0" borderId="18" xfId="0" applyNumberFormat="1" applyFont="1" applyBorder="1" applyAlignment="1">
      <alignment horizontal="right"/>
    </xf>
    <xf numFmtId="174" fontId="2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74" fontId="1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174" fontId="4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174" fontId="2" fillId="33" borderId="16" xfId="0" applyNumberFormat="1" applyFont="1" applyFill="1" applyBorder="1" applyAlignment="1">
      <alignment/>
    </xf>
    <xf numFmtId="0" fontId="2" fillId="0" borderId="18" xfId="0" applyFont="1" applyBorder="1" applyAlignment="1">
      <alignment vertical="top" wrapText="1" shrinkToFit="1"/>
    </xf>
    <xf numFmtId="0" fontId="2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4" fontId="1" fillId="0" borderId="20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174" fontId="1" fillId="0" borderId="23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174" fontId="4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74" fontId="4" fillId="0" borderId="14" xfId="0" applyNumberFormat="1" applyFont="1" applyBorder="1" applyAlignment="1">
      <alignment/>
    </xf>
    <xf numFmtId="174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3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74" fontId="2" fillId="0" borderId="22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/>
    </xf>
    <xf numFmtId="0" fontId="5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25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wrapText="1"/>
    </xf>
    <xf numFmtId="174" fontId="3" fillId="0" borderId="14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1" fillId="0" borderId="28" xfId="0" applyFont="1" applyBorder="1" applyAlignment="1">
      <alignment vertical="top" wrapText="1"/>
    </xf>
    <xf numFmtId="174" fontId="1" fillId="0" borderId="28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39" fontId="2" fillId="0" borderId="18" xfId="0" applyNumberFormat="1" applyFont="1" applyBorder="1" applyAlignment="1">
      <alignment/>
    </xf>
    <xf numFmtId="39" fontId="2" fillId="0" borderId="20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174" fontId="2" fillId="0" borderId="18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 wrapText="1"/>
    </xf>
    <xf numFmtId="174" fontId="3" fillId="0" borderId="20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174" fontId="1" fillId="0" borderId="23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8" xfId="0" applyFont="1" applyBorder="1" applyAlignment="1">
      <alignment vertical="top" wrapText="1" shrinkToFit="1"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 wrapText="1"/>
    </xf>
    <xf numFmtId="174" fontId="1" fillId="0" borderId="33" xfId="0" applyNumberFormat="1" applyFont="1" applyBorder="1" applyAlignment="1">
      <alignment/>
    </xf>
    <xf numFmtId="174" fontId="2" fillId="0" borderId="14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174" fontId="1" fillId="0" borderId="23" xfId="0" applyNumberFormat="1" applyFont="1" applyBorder="1" applyAlignment="1">
      <alignment horizontal="right"/>
    </xf>
    <xf numFmtId="174" fontId="2" fillId="0" borderId="20" xfId="0" applyNumberFormat="1" applyFont="1" applyBorder="1" applyAlignment="1">
      <alignment horizontal="right"/>
    </xf>
    <xf numFmtId="174" fontId="1" fillId="0" borderId="20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3" fillId="0" borderId="18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174" fontId="3" fillId="0" borderId="23" xfId="0" applyNumberFormat="1" applyFont="1" applyBorder="1" applyAlignment="1">
      <alignment/>
    </xf>
    <xf numFmtId="174" fontId="1" fillId="0" borderId="32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1"/>
  <sheetViews>
    <sheetView tabSelected="1" zoomScaleSheetLayoutView="100" zoomScalePageLayoutView="0" workbookViewId="0" topLeftCell="A1">
      <selection activeCell="I612" sqref="I612"/>
    </sheetView>
  </sheetViews>
  <sheetFormatPr defaultColWidth="9.00390625" defaultRowHeight="12.75" customHeight="1"/>
  <cols>
    <col min="1" max="1" width="8.75390625" style="1" customWidth="1"/>
    <col min="2" max="2" width="49.00390625" style="1" customWidth="1"/>
    <col min="3" max="3" width="20.75390625" style="1" hidden="1" customWidth="1"/>
    <col min="4" max="4" width="19.375" style="1" customWidth="1"/>
    <col min="5" max="5" width="18.25390625" style="1" customWidth="1"/>
    <col min="6" max="6" width="10.375" style="1" customWidth="1"/>
    <col min="7" max="9" width="19.375" style="1" customWidth="1"/>
    <col min="10" max="10" width="13.25390625" style="1" customWidth="1"/>
    <col min="11" max="16384" width="9.125" style="1" customWidth="1"/>
  </cols>
  <sheetData>
    <row r="1" spans="1:6" ht="19.5" customHeight="1">
      <c r="A1" s="174" t="s">
        <v>369</v>
      </c>
      <c r="B1" s="174"/>
      <c r="C1" s="174"/>
      <c r="D1" s="173"/>
      <c r="F1" s="172"/>
    </row>
    <row r="3" ht="12.75" customHeight="1" thickBot="1"/>
    <row r="4" spans="1:10" ht="15.75">
      <c r="A4" s="2"/>
      <c r="B4" s="3"/>
      <c r="C4" s="4"/>
      <c r="D4" s="4"/>
      <c r="E4" s="4"/>
      <c r="F4" s="4"/>
      <c r="G4" s="4"/>
      <c r="H4" s="4"/>
      <c r="I4" s="4"/>
      <c r="J4" s="4"/>
    </row>
    <row r="5" spans="1:10" ht="15.75">
      <c r="A5" s="5" t="s">
        <v>22</v>
      </c>
      <c r="B5" s="6" t="s">
        <v>1</v>
      </c>
      <c r="C5" s="7" t="s">
        <v>120</v>
      </c>
      <c r="D5" s="7" t="s">
        <v>120</v>
      </c>
      <c r="E5" s="7" t="s">
        <v>146</v>
      </c>
      <c r="F5" s="7" t="s">
        <v>21</v>
      </c>
      <c r="G5" s="7" t="s">
        <v>211</v>
      </c>
      <c r="H5" s="7" t="s">
        <v>216</v>
      </c>
      <c r="I5" s="7" t="s">
        <v>213</v>
      </c>
      <c r="J5" s="7" t="s">
        <v>21</v>
      </c>
    </row>
    <row r="6" spans="1:10" ht="15.75">
      <c r="A6" s="5" t="s">
        <v>24</v>
      </c>
      <c r="B6" s="8"/>
      <c r="C6" s="7" t="s">
        <v>181</v>
      </c>
      <c r="D6" s="7" t="s">
        <v>210</v>
      </c>
      <c r="E6" s="7" t="s">
        <v>210</v>
      </c>
      <c r="F6" s="7" t="s">
        <v>10</v>
      </c>
      <c r="G6" s="7" t="s">
        <v>212</v>
      </c>
      <c r="H6" s="7" t="s">
        <v>217</v>
      </c>
      <c r="I6" s="7" t="s">
        <v>214</v>
      </c>
      <c r="J6" s="7" t="s">
        <v>10</v>
      </c>
    </row>
    <row r="7" spans="1:10" ht="16.5" thickBot="1">
      <c r="A7" s="9"/>
      <c r="B7" s="10"/>
      <c r="C7" s="11" t="s">
        <v>140</v>
      </c>
      <c r="D7" s="11" t="s">
        <v>140</v>
      </c>
      <c r="E7" s="11" t="s">
        <v>140</v>
      </c>
      <c r="F7" s="11"/>
      <c r="G7" s="11" t="s">
        <v>215</v>
      </c>
      <c r="H7" s="11" t="s">
        <v>140</v>
      </c>
      <c r="I7" s="11" t="s">
        <v>140</v>
      </c>
      <c r="J7" s="11"/>
    </row>
    <row r="8" spans="1:10" ht="15.75">
      <c r="A8" s="12">
        <v>1</v>
      </c>
      <c r="B8" s="12">
        <v>2</v>
      </c>
      <c r="C8" s="13">
        <v>3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</row>
    <row r="9" spans="1:10" ht="15.75">
      <c r="A9" s="14"/>
      <c r="B9" s="15"/>
      <c r="C9" s="16"/>
      <c r="D9" s="16"/>
      <c r="E9" s="16"/>
      <c r="F9" s="16"/>
      <c r="G9" s="16"/>
      <c r="H9" s="16"/>
      <c r="I9" s="16"/>
      <c r="J9" s="16"/>
    </row>
    <row r="10" spans="1:10" ht="16.5" thickBot="1">
      <c r="A10" s="17" t="s">
        <v>23</v>
      </c>
      <c r="B10" s="18" t="s">
        <v>27</v>
      </c>
      <c r="C10" s="19">
        <f>SUM(C12)</f>
        <v>1500</v>
      </c>
      <c r="D10" s="19">
        <f>SUM(D12)</f>
        <v>2859</v>
      </c>
      <c r="E10" s="19">
        <f>SUM(E12)</f>
        <v>1692.6799999999998</v>
      </c>
      <c r="F10" s="19">
        <f>SUM(E10/D10)*100</f>
        <v>59.20531654424623</v>
      </c>
      <c r="G10" s="19">
        <f>SUM(G12)</f>
        <v>2008.08</v>
      </c>
      <c r="H10" s="19">
        <f>SUM(H12)</f>
        <v>1500</v>
      </c>
      <c r="I10" s="19">
        <f>SUM(I12)</f>
        <v>1500</v>
      </c>
      <c r="J10" s="19">
        <f>SUM(I10/G10)*100</f>
        <v>74.69821919445441</v>
      </c>
    </row>
    <row r="11" spans="1:10" ht="12.75" customHeight="1" thickTop="1">
      <c r="A11" s="20"/>
      <c r="B11" s="21"/>
      <c r="C11" s="22"/>
      <c r="D11" s="22"/>
      <c r="E11" s="22"/>
      <c r="F11" s="22"/>
      <c r="G11" s="22"/>
      <c r="H11" s="22"/>
      <c r="I11" s="22"/>
      <c r="J11" s="22"/>
    </row>
    <row r="12" spans="1:10" ht="15.75">
      <c r="A12" s="23" t="s">
        <v>25</v>
      </c>
      <c r="B12" s="24" t="s">
        <v>26</v>
      </c>
      <c r="C12" s="25">
        <f>SUM(C14:C15)</f>
        <v>1500</v>
      </c>
      <c r="D12" s="25">
        <f>SUM(D14:D15)</f>
        <v>2859</v>
      </c>
      <c r="E12" s="25">
        <f>SUM(E14:E15)</f>
        <v>1692.6799999999998</v>
      </c>
      <c r="F12" s="44">
        <f>SUM(E12/D12)*100</f>
        <v>59.20531654424623</v>
      </c>
      <c r="G12" s="25">
        <f>SUM(G14:G15)</f>
        <v>2008.08</v>
      </c>
      <c r="H12" s="25">
        <f>SUM(H14:H15)</f>
        <v>1500</v>
      </c>
      <c r="I12" s="25">
        <f>SUM(I14:I15)</f>
        <v>1500</v>
      </c>
      <c r="J12" s="44">
        <f>SUM(I12/G12)*100</f>
        <v>74.69821919445441</v>
      </c>
    </row>
    <row r="13" spans="1:10" ht="15.75">
      <c r="A13" s="14"/>
      <c r="B13" s="21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8"/>
      <c r="B14" s="29" t="s">
        <v>31</v>
      </c>
      <c r="C14" s="31">
        <v>1500</v>
      </c>
      <c r="D14" s="31">
        <v>1500</v>
      </c>
      <c r="E14" s="31">
        <v>334.6</v>
      </c>
      <c r="F14" s="30">
        <f>SUM(E14/D14)*100</f>
        <v>22.30666666666667</v>
      </c>
      <c r="G14" s="31">
        <v>650</v>
      </c>
      <c r="H14" s="31">
        <v>1500</v>
      </c>
      <c r="I14" s="31">
        <v>1500</v>
      </c>
      <c r="J14" s="30">
        <f>SUM(I14/G14)*100</f>
        <v>230.76923076923075</v>
      </c>
    </row>
    <row r="15" spans="1:10" ht="15">
      <c r="A15" s="28"/>
      <c r="B15" s="148" t="s">
        <v>147</v>
      </c>
      <c r="C15" s="77">
        <v>0</v>
      </c>
      <c r="D15" s="77">
        <v>1359</v>
      </c>
      <c r="E15" s="77">
        <v>1358.08</v>
      </c>
      <c r="F15" s="30">
        <f>SUM(E15/D15)*100</f>
        <v>99.93230316409124</v>
      </c>
      <c r="G15" s="77">
        <v>1358.08</v>
      </c>
      <c r="H15" s="77">
        <v>0</v>
      </c>
      <c r="I15" s="77">
        <v>0</v>
      </c>
      <c r="J15" s="30">
        <f>SUM(I15/G15)*100</f>
        <v>0</v>
      </c>
    </row>
    <row r="16" spans="1:10" ht="12.75" customHeight="1">
      <c r="A16" s="32"/>
      <c r="B16" s="33"/>
      <c r="C16" s="34"/>
      <c r="D16" s="34"/>
      <c r="E16" s="34"/>
      <c r="F16" s="34"/>
      <c r="G16" s="34"/>
      <c r="H16" s="34"/>
      <c r="I16" s="34"/>
      <c r="J16" s="34"/>
    </row>
    <row r="17" spans="1:10" ht="12.75" customHeight="1">
      <c r="A17" s="35"/>
      <c r="B17" s="35"/>
      <c r="C17" s="37"/>
      <c r="D17" s="37"/>
      <c r="E17" s="37"/>
      <c r="F17" s="37"/>
      <c r="G17" s="37"/>
      <c r="H17" s="37"/>
      <c r="I17" s="37"/>
      <c r="J17" s="37"/>
    </row>
    <row r="18" spans="1:10" ht="16.5" thickBot="1">
      <c r="A18" s="38">
        <v>600</v>
      </c>
      <c r="B18" s="39" t="s">
        <v>28</v>
      </c>
      <c r="C18" s="40">
        <f>SUM(C20,C26)</f>
        <v>9995056</v>
      </c>
      <c r="D18" s="40">
        <f>SUM(D20,D26)</f>
        <v>7593441</v>
      </c>
      <c r="E18" s="40">
        <f>SUM(E20,E26)</f>
        <v>2503955.98</v>
      </c>
      <c r="F18" s="19">
        <f>SUM(E18/D18)*100</f>
        <v>32.97524771707583</v>
      </c>
      <c r="G18" s="40">
        <f>SUM(G20,G26)</f>
        <v>5906226.989999999</v>
      </c>
      <c r="H18" s="40">
        <f>SUM(H20,H26)</f>
        <v>8741000</v>
      </c>
      <c r="I18" s="40">
        <f>SUM(I20,I26)</f>
        <v>6511000</v>
      </c>
      <c r="J18" s="19">
        <f>SUM(I18/G18)*100</f>
        <v>110.23958291856984</v>
      </c>
    </row>
    <row r="19" spans="1:10" ht="16.5" thickTop="1">
      <c r="A19" s="14"/>
      <c r="B19" s="14"/>
      <c r="C19" s="41"/>
      <c r="D19" s="41"/>
      <c r="E19" s="41"/>
      <c r="F19" s="41"/>
      <c r="G19" s="41"/>
      <c r="H19" s="41"/>
      <c r="I19" s="41"/>
      <c r="J19" s="41"/>
    </row>
    <row r="20" spans="1:10" ht="15.75">
      <c r="A20" s="42">
        <v>60004</v>
      </c>
      <c r="B20" s="43" t="s">
        <v>29</v>
      </c>
      <c r="C20" s="25">
        <f>SUM(C22:C24)</f>
        <v>798500</v>
      </c>
      <c r="D20" s="25">
        <f>SUM(D22:D24)</f>
        <v>798500</v>
      </c>
      <c r="E20" s="25">
        <f>SUM(E22:E24)</f>
        <v>597602</v>
      </c>
      <c r="F20" s="44">
        <f>SUM(E20/D20)*100</f>
        <v>74.84057608015029</v>
      </c>
      <c r="G20" s="25">
        <f>SUM(G22:G24)</f>
        <v>797226.5</v>
      </c>
      <c r="H20" s="25">
        <f>SUM(H22:H24)</f>
        <v>820000</v>
      </c>
      <c r="I20" s="25">
        <f>SUM(I22:I24)</f>
        <v>810000</v>
      </c>
      <c r="J20" s="44">
        <f>SUM(I20/G20)*100</f>
        <v>101.60224227368258</v>
      </c>
    </row>
    <row r="21" spans="1:10" ht="15.75">
      <c r="A21" s="14"/>
      <c r="B21" s="35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46"/>
      <c r="B22" s="47" t="s">
        <v>32</v>
      </c>
      <c r="C22" s="31">
        <f>780000+5000+13500</f>
        <v>798500</v>
      </c>
      <c r="D22" s="31">
        <f>780000+5000+13500</f>
        <v>798500</v>
      </c>
      <c r="E22" s="31">
        <v>597602</v>
      </c>
      <c r="F22" s="30">
        <f>SUM(E22/D22)*100</f>
        <v>74.84057608015029</v>
      </c>
      <c r="G22" s="31">
        <v>797226.5</v>
      </c>
      <c r="H22" s="31">
        <v>800000</v>
      </c>
      <c r="I22" s="31">
        <v>800000</v>
      </c>
      <c r="J22" s="30">
        <f>SUM(I22/G22)*100</f>
        <v>100.34789360363712</v>
      </c>
    </row>
    <row r="23" spans="1:10" ht="15">
      <c r="A23" s="46"/>
      <c r="B23" s="48"/>
      <c r="C23" s="49"/>
      <c r="D23" s="49"/>
      <c r="E23" s="49"/>
      <c r="F23" s="49"/>
      <c r="G23" s="49"/>
      <c r="H23" s="49"/>
      <c r="I23" s="49"/>
      <c r="J23" s="49"/>
    </row>
    <row r="24" spans="1:10" ht="12.75" customHeight="1">
      <c r="A24" s="46"/>
      <c r="B24" s="47" t="s">
        <v>125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20000</v>
      </c>
      <c r="I24" s="31">
        <f>20000-10000</f>
        <v>10000</v>
      </c>
      <c r="J24" s="31">
        <v>0</v>
      </c>
    </row>
    <row r="25" spans="1:10" ht="15.75">
      <c r="A25" s="14"/>
      <c r="B25" s="50"/>
      <c r="C25" s="41"/>
      <c r="D25" s="41"/>
      <c r="E25" s="41"/>
      <c r="F25" s="41"/>
      <c r="G25" s="41"/>
      <c r="H25" s="41"/>
      <c r="I25" s="41"/>
      <c r="J25" s="41"/>
    </row>
    <row r="26" spans="1:10" ht="15.75">
      <c r="A26" s="42">
        <v>60016</v>
      </c>
      <c r="B26" s="43" t="s">
        <v>30</v>
      </c>
      <c r="C26" s="25">
        <f>SUM(C28:C32,C34)</f>
        <v>9196556</v>
      </c>
      <c r="D26" s="25">
        <f>SUM(D28:D32,D34)</f>
        <v>6794941</v>
      </c>
      <c r="E26" s="25">
        <f>SUM(E28:E32,E34)</f>
        <v>1906353.98</v>
      </c>
      <c r="F26" s="44">
        <f>SUM(E26/D26)*100</f>
        <v>28.055489812199987</v>
      </c>
      <c r="G26" s="25">
        <f>SUM(G28:G32,G34)</f>
        <v>5109000.489999999</v>
      </c>
      <c r="H26" s="25">
        <f>SUM(H28:H32,H34)</f>
        <v>7921000</v>
      </c>
      <c r="I26" s="25">
        <f>SUM(I28:I32,I34)</f>
        <v>5701000</v>
      </c>
      <c r="J26" s="44">
        <f>SUM(I26/G26)*100</f>
        <v>111.58738409124717</v>
      </c>
    </row>
    <row r="27" spans="1:10" ht="15.75">
      <c r="A27" s="14"/>
      <c r="B27" s="51"/>
      <c r="C27" s="41"/>
      <c r="D27" s="41"/>
      <c r="E27" s="41"/>
      <c r="F27" s="41"/>
      <c r="G27" s="41"/>
      <c r="H27" s="41"/>
      <c r="I27" s="41"/>
      <c r="J27" s="41"/>
    </row>
    <row r="28" spans="1:10" ht="17.25" customHeight="1">
      <c r="A28" s="14"/>
      <c r="B28" s="52" t="s">
        <v>218</v>
      </c>
      <c r="C28" s="31">
        <f>465000-165000</f>
        <v>300000</v>
      </c>
      <c r="D28" s="31">
        <v>235000</v>
      </c>
      <c r="E28" s="31">
        <v>100368</v>
      </c>
      <c r="F28" s="30">
        <f>SUM(E28/D28)*100</f>
        <v>42.70978723404255</v>
      </c>
      <c r="G28" s="31">
        <v>230000</v>
      </c>
      <c r="H28" s="31">
        <v>1400000</v>
      </c>
      <c r="I28" s="31">
        <f>1400000-1000000-100000</f>
        <v>300000</v>
      </c>
      <c r="J28" s="30">
        <f>SUM(I28/G28)*100</f>
        <v>130.43478260869566</v>
      </c>
    </row>
    <row r="29" spans="1:10" ht="60.75">
      <c r="A29" s="14"/>
      <c r="B29" s="52" t="s">
        <v>219</v>
      </c>
      <c r="C29" s="31">
        <f>525000-100000-125000</f>
        <v>300000</v>
      </c>
      <c r="D29" s="31">
        <v>365000</v>
      </c>
      <c r="E29" s="31">
        <v>275321.66</v>
      </c>
      <c r="F29" s="30">
        <f>SUM(E29/D29)*100</f>
        <v>75.43059178082191</v>
      </c>
      <c r="G29" s="31">
        <v>365000</v>
      </c>
      <c r="H29" s="31">
        <v>1249000</v>
      </c>
      <c r="I29" s="31">
        <f>1249000-300000-149000</f>
        <v>800000</v>
      </c>
      <c r="J29" s="30">
        <f>SUM(I29/G29)*100</f>
        <v>219.17808219178082</v>
      </c>
    </row>
    <row r="30" spans="1:10" ht="15.75">
      <c r="A30" s="14"/>
      <c r="B30" s="52" t="s">
        <v>114</v>
      </c>
      <c r="C30" s="31">
        <v>20000</v>
      </c>
      <c r="D30" s="31">
        <v>20000</v>
      </c>
      <c r="E30" s="31">
        <v>14000</v>
      </c>
      <c r="F30" s="30">
        <f>SUM(E30/D30)*100</f>
        <v>70</v>
      </c>
      <c r="G30" s="31">
        <v>20000</v>
      </c>
      <c r="H30" s="31">
        <v>20000</v>
      </c>
      <c r="I30" s="31">
        <v>20000</v>
      </c>
      <c r="J30" s="30">
        <f>SUM(I30/G30)*100</f>
        <v>100</v>
      </c>
    </row>
    <row r="31" spans="1:10" ht="30.75">
      <c r="A31" s="14"/>
      <c r="B31" s="149" t="s">
        <v>221</v>
      </c>
      <c r="C31" s="77">
        <v>1000</v>
      </c>
      <c r="D31" s="77">
        <v>1000</v>
      </c>
      <c r="E31" s="77">
        <v>0</v>
      </c>
      <c r="F31" s="30">
        <f>SUM(E31/D31)*100</f>
        <v>0</v>
      </c>
      <c r="G31" s="77">
        <v>0</v>
      </c>
      <c r="H31" s="77">
        <v>2000</v>
      </c>
      <c r="I31" s="77">
        <f>2000-1000</f>
        <v>1000</v>
      </c>
      <c r="J31" s="30">
        <v>0</v>
      </c>
    </row>
    <row r="32" spans="1:10" ht="30.75">
      <c r="A32" s="14"/>
      <c r="B32" s="54" t="s">
        <v>220</v>
      </c>
      <c r="C32" s="31">
        <f>200000-80000-20000</f>
        <v>100000</v>
      </c>
      <c r="D32" s="31">
        <f>200000-80000-20000</f>
        <v>100000</v>
      </c>
      <c r="E32" s="31">
        <v>0</v>
      </c>
      <c r="F32" s="30">
        <f>SUM(E32/D32)*100</f>
        <v>0</v>
      </c>
      <c r="G32" s="31">
        <v>0</v>
      </c>
      <c r="H32" s="31">
        <v>0</v>
      </c>
      <c r="I32" s="31">
        <v>0</v>
      </c>
      <c r="J32" s="30">
        <v>0</v>
      </c>
    </row>
    <row r="33" spans="1:10" ht="15.75">
      <c r="A33" s="14"/>
      <c r="B33" s="55"/>
      <c r="C33" s="27"/>
      <c r="D33" s="27"/>
      <c r="E33" s="27"/>
      <c r="F33" s="27"/>
      <c r="G33" s="27"/>
      <c r="H33" s="27"/>
      <c r="I33" s="27"/>
      <c r="J33" s="27"/>
    </row>
    <row r="34" spans="1:10" ht="15.75">
      <c r="A34" s="14"/>
      <c r="B34" s="55" t="s">
        <v>127</v>
      </c>
      <c r="C34" s="27">
        <f>SUM(C37:C50)</f>
        <v>8475556</v>
      </c>
      <c r="D34" s="27">
        <f>SUM(D37:D50)</f>
        <v>6073941</v>
      </c>
      <c r="E34" s="27">
        <f>SUM(E37:E50)</f>
        <v>1516664.32</v>
      </c>
      <c r="F34" s="166">
        <f>SUM(E34/D34)*100</f>
        <v>24.97002061758585</v>
      </c>
      <c r="G34" s="27">
        <f>SUM(G37:G50)</f>
        <v>4494000.489999999</v>
      </c>
      <c r="H34" s="27">
        <f>SUM(H37:H50)</f>
        <v>5250000</v>
      </c>
      <c r="I34" s="27">
        <f>SUM(I37:I50)</f>
        <v>4580000</v>
      </c>
      <c r="J34" s="166">
        <f>SUM(I34/G34)*100</f>
        <v>101.91365154924583</v>
      </c>
    </row>
    <row r="35" spans="1:10" ht="15.75">
      <c r="A35" s="14"/>
      <c r="B35" s="55" t="s">
        <v>3</v>
      </c>
      <c r="C35" s="27"/>
      <c r="D35" s="27"/>
      <c r="E35" s="27"/>
      <c r="F35" s="27"/>
      <c r="G35" s="27"/>
      <c r="H35" s="27"/>
      <c r="I35" s="27"/>
      <c r="J35" s="27"/>
    </row>
    <row r="36" spans="1:10" ht="15.75">
      <c r="A36" s="14"/>
      <c r="B36" s="55"/>
      <c r="C36" s="41"/>
      <c r="D36" s="41"/>
      <c r="E36" s="41"/>
      <c r="F36" s="41"/>
      <c r="G36" s="41"/>
      <c r="H36" s="41"/>
      <c r="I36" s="41"/>
      <c r="J36" s="41"/>
    </row>
    <row r="37" spans="1:10" ht="15.75">
      <c r="A37" s="14"/>
      <c r="B37" s="56"/>
      <c r="C37" s="57"/>
      <c r="D37" s="57"/>
      <c r="E37" s="57"/>
      <c r="F37" s="57"/>
      <c r="G37" s="57"/>
      <c r="H37" s="57"/>
      <c r="I37" s="57"/>
      <c r="J37" s="57"/>
    </row>
    <row r="38" spans="1:10" ht="30" customHeight="1">
      <c r="A38" s="14"/>
      <c r="B38" s="52" t="s">
        <v>225</v>
      </c>
      <c r="C38" s="31">
        <v>3850556</v>
      </c>
      <c r="D38" s="31">
        <v>3850556</v>
      </c>
      <c r="E38" s="31">
        <v>15025.7</v>
      </c>
      <c r="F38" s="30">
        <f>SUM(E38/D38)*100</f>
        <v>0.3902215680021275</v>
      </c>
      <c r="G38" s="31">
        <v>2992361.87</v>
      </c>
      <c r="H38" s="31">
        <v>4580000</v>
      </c>
      <c r="I38" s="31">
        <v>4580000</v>
      </c>
      <c r="J38" s="30">
        <f>SUM(I38/G38)*100</f>
        <v>153.05635477837444</v>
      </c>
    </row>
    <row r="39" spans="1:10" ht="15.75">
      <c r="A39" s="14"/>
      <c r="B39" s="53"/>
      <c r="C39" s="49"/>
      <c r="D39" s="49"/>
      <c r="E39" s="49"/>
      <c r="F39" s="49"/>
      <c r="G39" s="49"/>
      <c r="H39" s="49"/>
      <c r="I39" s="49"/>
      <c r="J39" s="49"/>
    </row>
    <row r="40" spans="1:10" ht="30.75">
      <c r="A40" s="14"/>
      <c r="B40" s="52" t="s">
        <v>124</v>
      </c>
      <c r="C40" s="31">
        <v>400000</v>
      </c>
      <c r="D40" s="31">
        <v>377500</v>
      </c>
      <c r="E40" s="31">
        <v>377158.47</v>
      </c>
      <c r="F40" s="30">
        <f>SUM(E40/D40)*100</f>
        <v>99.90952847682118</v>
      </c>
      <c r="G40" s="31">
        <v>377158.47</v>
      </c>
      <c r="H40" s="31">
        <v>0</v>
      </c>
      <c r="I40" s="31">
        <v>0</v>
      </c>
      <c r="J40" s="30">
        <f>SUM(I40/G40)*100</f>
        <v>0</v>
      </c>
    </row>
    <row r="41" spans="1:10" ht="15" customHeight="1">
      <c r="A41" s="14"/>
      <c r="B41" s="157"/>
      <c r="C41" s="49"/>
      <c r="D41" s="49"/>
      <c r="E41" s="49"/>
      <c r="F41" s="49"/>
      <c r="G41" s="49"/>
      <c r="H41" s="49"/>
      <c r="I41" s="49"/>
      <c r="J41" s="49"/>
    </row>
    <row r="42" spans="1:10" ht="15.75">
      <c r="A42" s="14"/>
      <c r="B42" s="52" t="s">
        <v>222</v>
      </c>
      <c r="C42" s="31">
        <v>1410000</v>
      </c>
      <c r="D42" s="31">
        <v>693965</v>
      </c>
      <c r="E42" s="31">
        <v>655379.63</v>
      </c>
      <c r="F42" s="30">
        <f>SUM(E42/D42)*100</f>
        <v>94.43986800487056</v>
      </c>
      <c r="G42" s="31">
        <v>655379.63</v>
      </c>
      <c r="H42" s="31">
        <v>0</v>
      </c>
      <c r="I42" s="31">
        <v>0</v>
      </c>
      <c r="J42" s="30">
        <f>SUM(I42/G42)*100</f>
        <v>0</v>
      </c>
    </row>
    <row r="43" spans="1:10" ht="15" customHeight="1">
      <c r="A43" s="14"/>
      <c r="B43" s="157"/>
      <c r="C43" s="49"/>
      <c r="D43" s="49"/>
      <c r="E43" s="49"/>
      <c r="F43" s="49"/>
      <c r="G43" s="49"/>
      <c r="H43" s="49"/>
      <c r="I43" s="49"/>
      <c r="J43" s="49"/>
    </row>
    <row r="44" spans="1:10" ht="15" customHeight="1">
      <c r="A44" s="14"/>
      <c r="B44" s="54" t="s">
        <v>156</v>
      </c>
      <c r="C44" s="31">
        <v>465000</v>
      </c>
      <c r="D44" s="31">
        <v>465000</v>
      </c>
      <c r="E44" s="31">
        <v>444667.42</v>
      </c>
      <c r="F44" s="30">
        <f>SUM(E44/D44)*100</f>
        <v>95.62740215053763</v>
      </c>
      <c r="G44" s="31">
        <v>444667.42</v>
      </c>
      <c r="H44" s="31">
        <v>0</v>
      </c>
      <c r="I44" s="31">
        <v>0</v>
      </c>
      <c r="J44" s="30">
        <f>SUM(I44/G44)*100</f>
        <v>0</v>
      </c>
    </row>
    <row r="45" spans="1:10" ht="15" customHeight="1">
      <c r="A45" s="14"/>
      <c r="B45" s="157"/>
      <c r="C45" s="49"/>
      <c r="D45" s="49"/>
      <c r="E45" s="49"/>
      <c r="F45" s="49"/>
      <c r="G45" s="86"/>
      <c r="H45" s="49"/>
      <c r="I45" s="49"/>
      <c r="J45" s="49"/>
    </row>
    <row r="46" spans="1:10" ht="30.75">
      <c r="A46" s="14"/>
      <c r="B46" s="54" t="s">
        <v>223</v>
      </c>
      <c r="C46" s="31">
        <v>750000</v>
      </c>
      <c r="D46" s="31">
        <v>657920</v>
      </c>
      <c r="E46" s="31">
        <v>1063.1</v>
      </c>
      <c r="F46" s="30">
        <f>SUM(E46/D46)*100</f>
        <v>0.16158499513618674</v>
      </c>
      <c r="G46" s="31">
        <v>1063.1</v>
      </c>
      <c r="H46" s="31">
        <v>670000</v>
      </c>
      <c r="I46" s="31">
        <f>670000-670000</f>
        <v>0</v>
      </c>
      <c r="J46" s="30">
        <f>SUM(I46/G46)*100</f>
        <v>0</v>
      </c>
    </row>
    <row r="47" spans="1:10" ht="15" customHeight="1">
      <c r="A47" s="14"/>
      <c r="B47" s="157"/>
      <c r="C47" s="49"/>
      <c r="D47" s="49"/>
      <c r="E47" s="49"/>
      <c r="F47" s="49"/>
      <c r="G47" s="49"/>
      <c r="H47" s="49"/>
      <c r="I47" s="49"/>
      <c r="J47" s="49"/>
    </row>
    <row r="48" spans="1:10" ht="30.75">
      <c r="A48" s="14"/>
      <c r="B48" s="54" t="s">
        <v>224</v>
      </c>
      <c r="C48" s="31">
        <v>1400000</v>
      </c>
      <c r="D48" s="31">
        <v>10000</v>
      </c>
      <c r="E48" s="31">
        <v>4920</v>
      </c>
      <c r="F48" s="30">
        <f>SUM(E48/D48)*100</f>
        <v>49.2</v>
      </c>
      <c r="G48" s="31">
        <v>4920</v>
      </c>
      <c r="H48" s="31">
        <v>0</v>
      </c>
      <c r="I48" s="31">
        <v>0</v>
      </c>
      <c r="J48" s="30">
        <f>SUM(I48/G48)*100</f>
        <v>0</v>
      </c>
    </row>
    <row r="49" spans="1:10" ht="15" customHeight="1">
      <c r="A49" s="14"/>
      <c r="B49" s="157"/>
      <c r="C49" s="49"/>
      <c r="D49" s="49"/>
      <c r="E49" s="49"/>
      <c r="F49" s="49"/>
      <c r="G49" s="49"/>
      <c r="H49" s="49"/>
      <c r="I49" s="49"/>
      <c r="J49" s="49"/>
    </row>
    <row r="50" spans="1:10" ht="30.75">
      <c r="A50" s="43"/>
      <c r="B50" s="54" t="s">
        <v>157</v>
      </c>
      <c r="C50" s="31">
        <v>200000</v>
      </c>
      <c r="D50" s="31">
        <v>19000</v>
      </c>
      <c r="E50" s="31">
        <v>18450</v>
      </c>
      <c r="F50" s="30">
        <f>SUM(E50/D50)*100</f>
        <v>97.10526315789474</v>
      </c>
      <c r="G50" s="31">
        <v>18450</v>
      </c>
      <c r="H50" s="31">
        <v>0</v>
      </c>
      <c r="I50" s="31">
        <v>0</v>
      </c>
      <c r="J50" s="30">
        <f>SUM(I50/G50)*100</f>
        <v>0</v>
      </c>
    </row>
    <row r="51" spans="1:10" ht="15.75">
      <c r="A51" s="35"/>
      <c r="B51" s="35"/>
      <c r="C51" s="45"/>
      <c r="D51" s="45"/>
      <c r="E51" s="45"/>
      <c r="F51" s="45"/>
      <c r="G51" s="45"/>
      <c r="H51" s="45"/>
      <c r="I51" s="45"/>
      <c r="J51" s="45"/>
    </row>
    <row r="52" spans="1:10" ht="16.5" thickBot="1">
      <c r="A52" s="38">
        <v>630</v>
      </c>
      <c r="B52" s="39" t="s">
        <v>115</v>
      </c>
      <c r="C52" s="59">
        <f>SUM(C54)</f>
        <v>7000</v>
      </c>
      <c r="D52" s="59">
        <f>SUM(D54)</f>
        <v>7000</v>
      </c>
      <c r="E52" s="59">
        <f>SUM(E54)</f>
        <v>3200</v>
      </c>
      <c r="F52" s="19">
        <f>SUM(E52/D52)*100</f>
        <v>45.714285714285715</v>
      </c>
      <c r="G52" s="59">
        <f>SUM(G54)</f>
        <v>7000</v>
      </c>
      <c r="H52" s="59">
        <f>SUM(H54)</f>
        <v>6000</v>
      </c>
      <c r="I52" s="59">
        <f>SUM(I54)</f>
        <v>4000</v>
      </c>
      <c r="J52" s="19">
        <f>SUM(I52/G52)*100</f>
        <v>57.14285714285714</v>
      </c>
    </row>
    <row r="53" spans="1:10" ht="16.5" thickTop="1">
      <c r="A53" s="20"/>
      <c r="B53" s="20"/>
      <c r="C53" s="41"/>
      <c r="D53" s="41"/>
      <c r="E53" s="41"/>
      <c r="F53" s="41"/>
      <c r="G53" s="41"/>
      <c r="H53" s="41"/>
      <c r="I53" s="41"/>
      <c r="J53" s="41"/>
    </row>
    <row r="54" spans="1:10" ht="15.75">
      <c r="A54" s="42">
        <v>63001</v>
      </c>
      <c r="B54" s="162" t="s">
        <v>116</v>
      </c>
      <c r="C54" s="153">
        <f>SUM(C56)</f>
        <v>7000</v>
      </c>
      <c r="D54" s="153">
        <f>SUM(D56)</f>
        <v>7000</v>
      </c>
      <c r="E54" s="153">
        <f>SUM(E56)</f>
        <v>3200</v>
      </c>
      <c r="F54" s="44">
        <f>SUM(E54/D54)*100</f>
        <v>45.714285714285715</v>
      </c>
      <c r="G54" s="153">
        <f>SUM(G56)</f>
        <v>7000</v>
      </c>
      <c r="H54" s="153">
        <f>SUM(H56)</f>
        <v>6000</v>
      </c>
      <c r="I54" s="153">
        <f>SUM(I56)</f>
        <v>4000</v>
      </c>
      <c r="J54" s="44">
        <f>SUM(I54/G54)*100</f>
        <v>57.14285714285714</v>
      </c>
    </row>
    <row r="55" spans="1:10" ht="12.75" customHeight="1">
      <c r="A55" s="35"/>
      <c r="B55" s="61"/>
      <c r="C55" s="45"/>
      <c r="D55" s="45"/>
      <c r="E55" s="45"/>
      <c r="F55" s="45"/>
      <c r="G55" s="45"/>
      <c r="H55" s="45"/>
      <c r="I55" s="45"/>
      <c r="J55" s="45"/>
    </row>
    <row r="56" spans="1:10" ht="45">
      <c r="A56" s="28"/>
      <c r="B56" s="47" t="s">
        <v>226</v>
      </c>
      <c r="C56" s="31">
        <f>15000-8000</f>
        <v>7000</v>
      </c>
      <c r="D56" s="31">
        <f>15000-8000</f>
        <v>7000</v>
      </c>
      <c r="E56" s="31">
        <v>3200</v>
      </c>
      <c r="F56" s="30">
        <f>SUM(E56/D56)*100</f>
        <v>45.714285714285715</v>
      </c>
      <c r="G56" s="31">
        <v>7000</v>
      </c>
      <c r="H56" s="31">
        <v>6000</v>
      </c>
      <c r="I56" s="31">
        <f>6000-2000</f>
        <v>4000</v>
      </c>
      <c r="J56" s="30">
        <f>SUM(I56/G56)*100</f>
        <v>57.14285714285714</v>
      </c>
    </row>
    <row r="57" spans="1:10" ht="15.75" thickBot="1">
      <c r="A57" s="100"/>
      <c r="B57" s="101"/>
      <c r="C57" s="81"/>
      <c r="D57" s="81"/>
      <c r="E57" s="81"/>
      <c r="F57" s="81"/>
      <c r="G57" s="81"/>
      <c r="H57" s="81"/>
      <c r="I57" s="81"/>
      <c r="J57" s="81"/>
    </row>
    <row r="58" spans="1:10" ht="15.75">
      <c r="A58" s="2"/>
      <c r="B58" s="3"/>
      <c r="C58" s="4"/>
      <c r="D58" s="4"/>
      <c r="E58" s="4"/>
      <c r="F58" s="4"/>
      <c r="G58" s="4"/>
      <c r="H58" s="4"/>
      <c r="I58" s="4"/>
      <c r="J58" s="4"/>
    </row>
    <row r="59" spans="1:10" ht="15.75">
      <c r="A59" s="5" t="s">
        <v>22</v>
      </c>
      <c r="B59" s="6" t="s">
        <v>1</v>
      </c>
      <c r="C59" s="7" t="s">
        <v>120</v>
      </c>
      <c r="D59" s="7" t="s">
        <v>120</v>
      </c>
      <c r="E59" s="7" t="s">
        <v>146</v>
      </c>
      <c r="F59" s="7" t="s">
        <v>21</v>
      </c>
      <c r="G59" s="7" t="s">
        <v>211</v>
      </c>
      <c r="H59" s="7" t="s">
        <v>216</v>
      </c>
      <c r="I59" s="7" t="s">
        <v>213</v>
      </c>
      <c r="J59" s="7" t="s">
        <v>21</v>
      </c>
    </row>
    <row r="60" spans="1:10" ht="15.75">
      <c r="A60" s="5" t="s">
        <v>24</v>
      </c>
      <c r="B60" s="8"/>
      <c r="C60" s="7" t="s">
        <v>181</v>
      </c>
      <c r="D60" s="7" t="s">
        <v>210</v>
      </c>
      <c r="E60" s="7" t="s">
        <v>210</v>
      </c>
      <c r="F60" s="7" t="s">
        <v>10</v>
      </c>
      <c r="G60" s="7" t="s">
        <v>212</v>
      </c>
      <c r="H60" s="7" t="s">
        <v>217</v>
      </c>
      <c r="I60" s="7" t="s">
        <v>214</v>
      </c>
      <c r="J60" s="7" t="s">
        <v>10</v>
      </c>
    </row>
    <row r="61" spans="1:10" ht="16.5" thickBot="1">
      <c r="A61" s="9"/>
      <c r="B61" s="10"/>
      <c r="C61" s="11" t="s">
        <v>140</v>
      </c>
      <c r="D61" s="11" t="s">
        <v>140</v>
      </c>
      <c r="E61" s="11" t="s">
        <v>140</v>
      </c>
      <c r="F61" s="11"/>
      <c r="G61" s="11" t="s">
        <v>215</v>
      </c>
      <c r="H61" s="11" t="s">
        <v>140</v>
      </c>
      <c r="I61" s="11" t="s">
        <v>140</v>
      </c>
      <c r="J61" s="11"/>
    </row>
    <row r="62" spans="1:10" ht="15.75">
      <c r="A62" s="35"/>
      <c r="B62" s="35"/>
      <c r="C62" s="45"/>
      <c r="D62" s="45"/>
      <c r="E62" s="45"/>
      <c r="F62" s="45"/>
      <c r="G62" s="45"/>
      <c r="H62" s="45"/>
      <c r="I62" s="45"/>
      <c r="J62" s="45"/>
    </row>
    <row r="63" spans="1:10" ht="16.5" thickBot="1">
      <c r="A63" s="38">
        <v>700</v>
      </c>
      <c r="B63" s="39" t="s">
        <v>33</v>
      </c>
      <c r="C63" s="59">
        <f>SUM(C65,C70,C85)</f>
        <v>10992370</v>
      </c>
      <c r="D63" s="59">
        <f>SUM(D65,D70,D85)</f>
        <v>11862370</v>
      </c>
      <c r="E63" s="59">
        <f>SUM(E65,E70,E85)</f>
        <v>9398578.91</v>
      </c>
      <c r="F63" s="19">
        <f>SUM(E63/D63)*100</f>
        <v>79.23019523080127</v>
      </c>
      <c r="G63" s="59">
        <f>SUM(G65,G70,G85)</f>
        <v>12126801.729999999</v>
      </c>
      <c r="H63" s="59">
        <f>SUM(H65,H70,H85)</f>
        <v>14527136</v>
      </c>
      <c r="I63" s="59">
        <f>SUM(I65,I70,I85)</f>
        <v>11582594</v>
      </c>
      <c r="J63" s="19">
        <f>SUM(I63/G63)*100</f>
        <v>95.51235567203425</v>
      </c>
    </row>
    <row r="64" spans="1:10" ht="12.75" customHeight="1" thickTop="1">
      <c r="A64" s="20"/>
      <c r="B64" s="20"/>
      <c r="C64" s="41"/>
      <c r="D64" s="41"/>
      <c r="E64" s="41"/>
      <c r="F64" s="41"/>
      <c r="G64" s="41"/>
      <c r="H64" s="41"/>
      <c r="I64" s="41"/>
      <c r="J64" s="41"/>
    </row>
    <row r="65" spans="1:10" ht="31.5">
      <c r="A65" s="42">
        <v>70004</v>
      </c>
      <c r="B65" s="60" t="s">
        <v>34</v>
      </c>
      <c r="C65" s="25">
        <f>SUM(C66:C68)</f>
        <v>41000</v>
      </c>
      <c r="D65" s="25">
        <f>SUM(D66:D68)</f>
        <v>48100</v>
      </c>
      <c r="E65" s="25">
        <f>SUM(E66:E68)</f>
        <v>40169.51</v>
      </c>
      <c r="F65" s="44">
        <f>SUM(E65/D65)*100</f>
        <v>83.51249480249481</v>
      </c>
      <c r="G65" s="25">
        <f>SUM(G66:G68)</f>
        <v>48096.11</v>
      </c>
      <c r="H65" s="25">
        <f>SUM(H66:H68)</f>
        <v>150000</v>
      </c>
      <c r="I65" s="25">
        <f>SUM(I66:I68)</f>
        <v>70000</v>
      </c>
      <c r="J65" s="44">
        <f>SUM(I65/G65)*100</f>
        <v>145.54191596784023</v>
      </c>
    </row>
    <row r="66" spans="1:10" ht="9" customHeight="1">
      <c r="A66" s="14"/>
      <c r="B66" s="68"/>
      <c r="C66" s="45"/>
      <c r="D66" s="45"/>
      <c r="E66" s="45"/>
      <c r="F66" s="45"/>
      <c r="G66" s="45"/>
      <c r="H66" s="45"/>
      <c r="I66" s="45"/>
      <c r="J66" s="45"/>
    </row>
    <row r="67" spans="1:10" ht="30">
      <c r="A67" s="46"/>
      <c r="B67" s="47" t="s">
        <v>227</v>
      </c>
      <c r="C67" s="31">
        <f>100000-50000-10000</f>
        <v>40000</v>
      </c>
      <c r="D67" s="31">
        <v>45500</v>
      </c>
      <c r="E67" s="31">
        <v>37573.4</v>
      </c>
      <c r="F67" s="30">
        <f>SUM(E67/D67)*100</f>
        <v>82.5789010989011</v>
      </c>
      <c r="G67" s="31">
        <v>45500</v>
      </c>
      <c r="H67" s="31">
        <v>150000</v>
      </c>
      <c r="I67" s="31">
        <f>150000-50000-30000</f>
        <v>70000</v>
      </c>
      <c r="J67" s="30">
        <f>SUM(I67/G67)*100</f>
        <v>153.84615384615387</v>
      </c>
    </row>
    <row r="68" spans="1:10" ht="14.25" customHeight="1">
      <c r="A68" s="46"/>
      <c r="B68" s="47" t="s">
        <v>228</v>
      </c>
      <c r="C68" s="31">
        <v>1000</v>
      </c>
      <c r="D68" s="31">
        <v>2600</v>
      </c>
      <c r="E68" s="31">
        <v>2596.11</v>
      </c>
      <c r="F68" s="30">
        <f>SUM(E68/D68)*100</f>
        <v>99.85038461538463</v>
      </c>
      <c r="G68" s="31">
        <v>2596.11</v>
      </c>
      <c r="H68" s="31">
        <v>0</v>
      </c>
      <c r="I68" s="31">
        <v>0</v>
      </c>
      <c r="J68" s="30">
        <f>SUM(I68/G68)*100</f>
        <v>0</v>
      </c>
    </row>
    <row r="69" spans="1:10" ht="15.75">
      <c r="A69" s="14"/>
      <c r="B69" s="14"/>
      <c r="C69" s="41"/>
      <c r="D69" s="41"/>
      <c r="E69" s="41"/>
      <c r="F69" s="41"/>
      <c r="G69" s="41"/>
      <c r="H69" s="41"/>
      <c r="I69" s="41"/>
      <c r="J69" s="41"/>
    </row>
    <row r="70" spans="1:10" ht="15.75">
      <c r="A70" s="42">
        <v>70005</v>
      </c>
      <c r="B70" s="69" t="s">
        <v>35</v>
      </c>
      <c r="C70" s="25">
        <f>SUM(C72:C76,C78)</f>
        <v>8476370</v>
      </c>
      <c r="D70" s="25">
        <f>SUM(D72:D76,D78)</f>
        <v>8974770</v>
      </c>
      <c r="E70" s="25">
        <f>SUM(E72:E76,E78)</f>
        <v>6951783.91</v>
      </c>
      <c r="F70" s="44">
        <f>SUM(E70/D70)*100</f>
        <v>77.45918736636148</v>
      </c>
      <c r="G70" s="25">
        <f>SUM(G72:G76,G78)</f>
        <v>9039205.62</v>
      </c>
      <c r="H70" s="25">
        <f>SUM(H72:H76,H78)</f>
        <v>9945636</v>
      </c>
      <c r="I70" s="25">
        <f>SUM(I72:I76,I78)</f>
        <v>8692594</v>
      </c>
      <c r="J70" s="44">
        <f>SUM(I70/G70)*100</f>
        <v>96.16546370808192</v>
      </c>
    </row>
    <row r="71" spans="1:10" ht="7.5" customHeight="1">
      <c r="A71" s="14"/>
      <c r="B71" s="14"/>
      <c r="C71" s="27"/>
      <c r="D71" s="27"/>
      <c r="E71" s="27"/>
      <c r="F71" s="27"/>
      <c r="G71" s="27"/>
      <c r="H71" s="27"/>
      <c r="I71" s="27"/>
      <c r="J71" s="27"/>
    </row>
    <row r="72" spans="1:10" ht="16.5" customHeight="1">
      <c r="A72" s="46"/>
      <c r="B72" s="70" t="s">
        <v>183</v>
      </c>
      <c r="C72" s="31">
        <f>70000+25000</f>
        <v>95000</v>
      </c>
      <c r="D72" s="31">
        <v>83400</v>
      </c>
      <c r="E72" s="31">
        <v>33835.82</v>
      </c>
      <c r="F72" s="30">
        <f>SUM(E72/D72)*100</f>
        <v>40.570527577937646</v>
      </c>
      <c r="G72" s="31">
        <v>53835.82</v>
      </c>
      <c r="H72" s="31">
        <v>100000</v>
      </c>
      <c r="I72" s="31">
        <f>100000-30000</f>
        <v>70000</v>
      </c>
      <c r="J72" s="30">
        <f>SUM(I72/G72)*100</f>
        <v>130.02495364610402</v>
      </c>
    </row>
    <row r="73" spans="1:10" ht="30">
      <c r="A73" s="46"/>
      <c r="B73" s="76" t="s">
        <v>230</v>
      </c>
      <c r="C73" s="77">
        <f>5000+5000</f>
        <v>10000</v>
      </c>
      <c r="D73" s="77">
        <v>19727</v>
      </c>
      <c r="E73" s="77">
        <v>11290.8</v>
      </c>
      <c r="F73" s="30">
        <f>SUM(E73/D73)*100</f>
        <v>57.235261316976725</v>
      </c>
      <c r="G73" s="77">
        <v>14290.8</v>
      </c>
      <c r="H73" s="77">
        <v>20000</v>
      </c>
      <c r="I73" s="77">
        <f>20000-5000</f>
        <v>15000</v>
      </c>
      <c r="J73" s="30">
        <f>SUM(I73/G73)*100</f>
        <v>104.96263330254429</v>
      </c>
    </row>
    <row r="74" spans="1:10" ht="15">
      <c r="A74" s="46"/>
      <c r="B74" s="76" t="s">
        <v>184</v>
      </c>
      <c r="C74" s="77">
        <v>30000</v>
      </c>
      <c r="D74" s="77">
        <v>30000</v>
      </c>
      <c r="E74" s="77">
        <v>29709</v>
      </c>
      <c r="F74" s="30">
        <f>SUM(E74/D74)*100</f>
        <v>99.03</v>
      </c>
      <c r="G74" s="77">
        <v>29709</v>
      </c>
      <c r="H74" s="77">
        <v>30000</v>
      </c>
      <c r="I74" s="77">
        <v>30000</v>
      </c>
      <c r="J74" s="30">
        <f>SUM(I74/G74)*100</f>
        <v>100.97950116126427</v>
      </c>
    </row>
    <row r="75" spans="1:10" ht="30">
      <c r="A75" s="46"/>
      <c r="B75" s="76" t="s">
        <v>231</v>
      </c>
      <c r="C75" s="77"/>
      <c r="D75" s="77">
        <v>0</v>
      </c>
      <c r="E75" s="77">
        <v>0</v>
      </c>
      <c r="F75" s="30">
        <v>0</v>
      </c>
      <c r="G75" s="77">
        <v>0</v>
      </c>
      <c r="H75" s="77">
        <v>618042</v>
      </c>
      <c r="I75" s="77">
        <f>618042-618042</f>
        <v>0</v>
      </c>
      <c r="J75" s="30">
        <v>0</v>
      </c>
    </row>
    <row r="76" spans="1:10" ht="30">
      <c r="A76" s="46"/>
      <c r="B76" s="76" t="s">
        <v>182</v>
      </c>
      <c r="C76" s="77">
        <v>0</v>
      </c>
      <c r="D76" s="77">
        <v>273</v>
      </c>
      <c r="E76" s="77">
        <v>0</v>
      </c>
      <c r="F76" s="168">
        <f>SUM(E76/D76)*100</f>
        <v>0</v>
      </c>
      <c r="G76" s="77">
        <v>0</v>
      </c>
      <c r="H76" s="77">
        <v>0</v>
      </c>
      <c r="I76" s="77">
        <v>0</v>
      </c>
      <c r="J76" s="168">
        <v>0</v>
      </c>
    </row>
    <row r="77" spans="1:10" ht="12.75" customHeight="1">
      <c r="A77" s="46"/>
      <c r="B77" s="71"/>
      <c r="C77" s="49"/>
      <c r="D77" s="49"/>
      <c r="E77" s="49"/>
      <c r="F77" s="49"/>
      <c r="G77" s="49"/>
      <c r="H77" s="49"/>
      <c r="I77" s="49"/>
      <c r="J77" s="49"/>
    </row>
    <row r="78" spans="1:10" ht="14.25" customHeight="1">
      <c r="A78" s="46"/>
      <c r="B78" s="73" t="s">
        <v>139</v>
      </c>
      <c r="C78" s="65">
        <f>SUM(C80:C82)</f>
        <v>8341370</v>
      </c>
      <c r="D78" s="65">
        <f>SUM(D80:D82)</f>
        <v>8841370</v>
      </c>
      <c r="E78" s="65">
        <f>SUM(E80:E82)</f>
        <v>6876948.29</v>
      </c>
      <c r="F78" s="166">
        <f>SUM(E78/D78)*100</f>
        <v>77.78147832292959</v>
      </c>
      <c r="G78" s="65">
        <f>SUM(G80:G82)</f>
        <v>8941370</v>
      </c>
      <c r="H78" s="65">
        <f>SUM(H80:H82)</f>
        <v>9177594</v>
      </c>
      <c r="I78" s="65">
        <f>SUM(I80:I82)</f>
        <v>8577594</v>
      </c>
      <c r="J78" s="166">
        <f>SUM(I78/G78)*100</f>
        <v>95.93154069231001</v>
      </c>
    </row>
    <row r="79" spans="1:10" ht="15">
      <c r="A79" s="46"/>
      <c r="B79" s="71" t="s">
        <v>3</v>
      </c>
      <c r="C79" s="49"/>
      <c r="D79" s="49"/>
      <c r="E79" s="49"/>
      <c r="F79" s="49"/>
      <c r="G79" s="49"/>
      <c r="H79" s="49"/>
      <c r="I79" s="49"/>
      <c r="J79" s="49"/>
    </row>
    <row r="80" spans="1:10" ht="15">
      <c r="A80" s="48"/>
      <c r="B80" s="71" t="s">
        <v>89</v>
      </c>
      <c r="C80" s="49">
        <f>1953600-50000</f>
        <v>1903600</v>
      </c>
      <c r="D80" s="49">
        <f>1953600-50000</f>
        <v>1903600</v>
      </c>
      <c r="E80" s="49">
        <v>1376165.74</v>
      </c>
      <c r="F80" s="167">
        <f>SUM(E80/D80)*100</f>
        <v>72.29279995797437</v>
      </c>
      <c r="G80" s="49">
        <v>1903600</v>
      </c>
      <c r="H80" s="49">
        <v>1940054</v>
      </c>
      <c r="I80" s="49">
        <f>1940054-40000</f>
        <v>1900054</v>
      </c>
      <c r="J80" s="167">
        <f>SUM(I80/G80)*100</f>
        <v>99.81372137003572</v>
      </c>
    </row>
    <row r="81" spans="1:10" ht="15">
      <c r="A81" s="46"/>
      <c r="B81" s="71" t="s">
        <v>13</v>
      </c>
      <c r="C81" s="49">
        <f>6470770-70000+27000</f>
        <v>6427770</v>
      </c>
      <c r="D81" s="49">
        <v>6927770</v>
      </c>
      <c r="E81" s="49">
        <v>5500782.55</v>
      </c>
      <c r="F81" s="167">
        <f>SUM(E81/D81)*100</f>
        <v>79.40192226358553</v>
      </c>
      <c r="G81" s="49">
        <f>6927770+100000</f>
        <v>7027770</v>
      </c>
      <c r="H81" s="49">
        <v>7227540</v>
      </c>
      <c r="I81" s="49">
        <f>7227540-280000-280000</f>
        <v>6667540</v>
      </c>
      <c r="J81" s="167">
        <f>SUM(I81/G81)*100</f>
        <v>94.87419195562747</v>
      </c>
    </row>
    <row r="82" spans="1:10" ht="15.75">
      <c r="A82" s="46"/>
      <c r="B82" s="64" t="s">
        <v>127</v>
      </c>
      <c r="C82" s="65">
        <f>SUM(C83)</f>
        <v>10000</v>
      </c>
      <c r="D82" s="65">
        <f>SUM(D83)</f>
        <v>10000</v>
      </c>
      <c r="E82" s="65">
        <f>SUM(E83)</f>
        <v>0</v>
      </c>
      <c r="F82" s="166">
        <f>SUM(E82/D82)*100</f>
        <v>0</v>
      </c>
      <c r="G82" s="65">
        <f>SUM(G83)</f>
        <v>10000</v>
      </c>
      <c r="H82" s="65">
        <f>SUM(H83)</f>
        <v>10000</v>
      </c>
      <c r="I82" s="65">
        <f>SUM(I83)</f>
        <v>10000</v>
      </c>
      <c r="J82" s="166">
        <f>SUM(I82/G82)*100</f>
        <v>100</v>
      </c>
    </row>
    <row r="83" spans="1:10" ht="15.75">
      <c r="A83" s="46"/>
      <c r="B83" s="64" t="s">
        <v>0</v>
      </c>
      <c r="C83" s="49">
        <v>10000</v>
      </c>
      <c r="D83" s="49">
        <v>10000</v>
      </c>
      <c r="E83" s="49">
        <v>0</v>
      </c>
      <c r="F83" s="30">
        <f>SUM(E83/D83)*100</f>
        <v>0</v>
      </c>
      <c r="G83" s="49">
        <v>10000</v>
      </c>
      <c r="H83" s="49">
        <v>10000</v>
      </c>
      <c r="I83" s="49">
        <v>10000</v>
      </c>
      <c r="J83" s="30">
        <f>SUM(I83/G83)*100</f>
        <v>100</v>
      </c>
    </row>
    <row r="84" spans="1:10" ht="12.75" customHeight="1">
      <c r="A84" s="14"/>
      <c r="B84" s="74"/>
      <c r="C84" s="37"/>
      <c r="D84" s="37"/>
      <c r="E84" s="37"/>
      <c r="F84" s="37"/>
      <c r="G84" s="37"/>
      <c r="H84" s="37"/>
      <c r="I84" s="37"/>
      <c r="J84" s="37"/>
    </row>
    <row r="85" spans="1:10" ht="15.75">
      <c r="A85" s="42">
        <v>70095</v>
      </c>
      <c r="B85" s="43" t="s">
        <v>26</v>
      </c>
      <c r="C85" s="25">
        <f>SUM(C87,C90)</f>
        <v>2475000</v>
      </c>
      <c r="D85" s="25">
        <f>SUM(D87,D90)</f>
        <v>2839500</v>
      </c>
      <c r="E85" s="25">
        <f>SUM(E87,E90)</f>
        <v>2406625.4899999998</v>
      </c>
      <c r="F85" s="44">
        <f>SUM(E85/D85)*100</f>
        <v>84.75525585490402</v>
      </c>
      <c r="G85" s="25">
        <f>SUM(G87,G90)</f>
        <v>3039500</v>
      </c>
      <c r="H85" s="25">
        <f>SUM(H87,H90)</f>
        <v>4431500</v>
      </c>
      <c r="I85" s="25">
        <f>SUM(I87,I90)</f>
        <v>2820000</v>
      </c>
      <c r="J85" s="44">
        <f>SUM(I85/G85)*100</f>
        <v>92.77841750287877</v>
      </c>
    </row>
    <row r="86" spans="1:10" ht="12.75" customHeight="1">
      <c r="A86" s="14"/>
      <c r="B86" s="14"/>
      <c r="C86" s="27"/>
      <c r="D86" s="27"/>
      <c r="E86" s="27"/>
      <c r="F86" s="27"/>
      <c r="G86" s="27"/>
      <c r="H86" s="27"/>
      <c r="I86" s="27"/>
      <c r="J86" s="27"/>
    </row>
    <row r="87" spans="1:10" ht="12.75" customHeight="1">
      <c r="A87" s="14"/>
      <c r="B87" s="75" t="s">
        <v>126</v>
      </c>
      <c r="C87" s="65">
        <f>SUM(C89:C89)</f>
        <v>2100000</v>
      </c>
      <c r="D87" s="65">
        <f>SUM(D89:D89)</f>
        <v>2579880</v>
      </c>
      <c r="E87" s="65">
        <f>SUM(E89:E89)</f>
        <v>2192263.71</v>
      </c>
      <c r="F87" s="166">
        <f>SUM(E87/D87)*100</f>
        <v>84.97541397274291</v>
      </c>
      <c r="G87" s="65">
        <f>SUM(G89:G89)</f>
        <v>2779880</v>
      </c>
      <c r="H87" s="65">
        <f>SUM(H89:H89)</f>
        <v>3729500</v>
      </c>
      <c r="I87" s="65">
        <f>SUM(I89:I89)</f>
        <v>2800000</v>
      </c>
      <c r="J87" s="166">
        <f>SUM(I87/G87)*100</f>
        <v>100.72377224916183</v>
      </c>
    </row>
    <row r="88" spans="1:10" ht="12.75" customHeight="1">
      <c r="A88" s="14"/>
      <c r="B88" s="75" t="s">
        <v>3</v>
      </c>
      <c r="C88" s="49"/>
      <c r="D88" s="49"/>
      <c r="E88" s="49"/>
      <c r="F88" s="49"/>
      <c r="G88" s="49"/>
      <c r="H88" s="49"/>
      <c r="I88" s="49"/>
      <c r="J88" s="49"/>
    </row>
    <row r="89" spans="1:10" ht="15.75">
      <c r="A89" s="14"/>
      <c r="B89" s="70" t="s">
        <v>92</v>
      </c>
      <c r="C89" s="31">
        <f>3985000-600000-1000000-85000-200000</f>
        <v>2100000</v>
      </c>
      <c r="D89" s="31">
        <v>2579880</v>
      </c>
      <c r="E89" s="31">
        <v>2192263.71</v>
      </c>
      <c r="F89" s="30">
        <f>SUM(E89/D89)*100</f>
        <v>84.97541397274291</v>
      </c>
      <c r="G89" s="31">
        <f>2579880+200000</f>
        <v>2779880</v>
      </c>
      <c r="H89" s="31">
        <v>3729500</v>
      </c>
      <c r="I89" s="31">
        <f>3729500-500000-429500</f>
        <v>2800000</v>
      </c>
      <c r="J89" s="30">
        <f>SUM(I89/G89)*100</f>
        <v>100.72377224916183</v>
      </c>
    </row>
    <row r="90" spans="1:10" ht="15.75">
      <c r="A90" s="14"/>
      <c r="B90" s="73" t="s">
        <v>127</v>
      </c>
      <c r="C90" s="65">
        <f>SUM(C92:C95)</f>
        <v>375000</v>
      </c>
      <c r="D90" s="65">
        <f>SUM(D92:D95)</f>
        <v>259620</v>
      </c>
      <c r="E90" s="65">
        <f>SUM(E92:E95)</f>
        <v>214361.78</v>
      </c>
      <c r="F90" s="166">
        <f>SUM(E90/D90)*100</f>
        <v>82.56751405900931</v>
      </c>
      <c r="G90" s="65">
        <f>SUM(G92:G95)</f>
        <v>259620</v>
      </c>
      <c r="H90" s="65">
        <f>SUM(H92:H95)</f>
        <v>702000</v>
      </c>
      <c r="I90" s="65">
        <f>SUM(I92:I95)</f>
        <v>20000</v>
      </c>
      <c r="J90" s="166">
        <f>SUM(I90/G90)*100</f>
        <v>7.7035667514059005</v>
      </c>
    </row>
    <row r="91" spans="1:10" ht="15.75">
      <c r="A91" s="14"/>
      <c r="B91" s="73" t="s">
        <v>3</v>
      </c>
      <c r="C91" s="49"/>
      <c r="D91" s="49"/>
      <c r="E91" s="49"/>
      <c r="F91" s="49"/>
      <c r="G91" s="49"/>
      <c r="H91" s="49"/>
      <c r="I91" s="49"/>
      <c r="J91" s="49"/>
    </row>
    <row r="92" spans="1:10" s="79" customFormat="1" ht="75.75">
      <c r="A92" s="68"/>
      <c r="B92" s="47" t="s">
        <v>229</v>
      </c>
      <c r="C92" s="31">
        <f>600000-300000</f>
        <v>300000</v>
      </c>
      <c r="D92" s="31">
        <v>180000</v>
      </c>
      <c r="E92" s="31">
        <v>179361.78</v>
      </c>
      <c r="F92" s="30">
        <f>SUM(E92/D92)*100</f>
        <v>99.64543333333333</v>
      </c>
      <c r="G92" s="31">
        <v>180000</v>
      </c>
      <c r="H92" s="31">
        <v>506000</v>
      </c>
      <c r="I92" s="31">
        <f>506000-250000-256000</f>
        <v>0</v>
      </c>
      <c r="J92" s="30">
        <f>SUM(I92/G92)*100</f>
        <v>0</v>
      </c>
    </row>
    <row r="93" spans="1:10" s="79" customFormat="1" ht="30.75">
      <c r="A93" s="68"/>
      <c r="B93" s="47" t="s">
        <v>232</v>
      </c>
      <c r="C93" s="31">
        <v>75000</v>
      </c>
      <c r="D93" s="31">
        <v>0</v>
      </c>
      <c r="E93" s="31">
        <v>0</v>
      </c>
      <c r="F93" s="30">
        <v>0</v>
      </c>
      <c r="G93" s="31">
        <v>0</v>
      </c>
      <c r="H93" s="31">
        <v>95000</v>
      </c>
      <c r="I93" s="31">
        <f>95000-95000</f>
        <v>0</v>
      </c>
      <c r="J93" s="30">
        <v>0</v>
      </c>
    </row>
    <row r="94" spans="1:10" s="79" customFormat="1" ht="30.75">
      <c r="A94" s="68"/>
      <c r="B94" s="89" t="s">
        <v>233</v>
      </c>
      <c r="C94" s="77">
        <v>0</v>
      </c>
      <c r="D94" s="77">
        <v>44620</v>
      </c>
      <c r="E94" s="77">
        <v>0</v>
      </c>
      <c r="F94" s="30">
        <f>SUM(E94/D94)*100</f>
        <v>0</v>
      </c>
      <c r="G94" s="77">
        <v>44620</v>
      </c>
      <c r="H94" s="77">
        <v>101000</v>
      </c>
      <c r="I94" s="77">
        <f>101000-50000-31000</f>
        <v>20000</v>
      </c>
      <c r="J94" s="30">
        <f>SUM(I94/G94)*100</f>
        <v>44.82294935006724</v>
      </c>
    </row>
    <row r="95" spans="1:10" s="79" customFormat="1" ht="45.75">
      <c r="A95" s="78"/>
      <c r="B95" s="47" t="s">
        <v>185</v>
      </c>
      <c r="C95" s="31">
        <v>0</v>
      </c>
      <c r="D95" s="31">
        <v>35000</v>
      </c>
      <c r="E95" s="31">
        <v>35000</v>
      </c>
      <c r="F95" s="30">
        <f>SUM(E95/D95)*100</f>
        <v>100</v>
      </c>
      <c r="G95" s="31">
        <v>35000</v>
      </c>
      <c r="H95" s="31">
        <v>0</v>
      </c>
      <c r="I95" s="31">
        <v>0</v>
      </c>
      <c r="J95" s="30">
        <f>SUM(I95/G95)*100</f>
        <v>0</v>
      </c>
    </row>
    <row r="96" spans="1:10" ht="12.75" customHeight="1">
      <c r="A96" s="35"/>
      <c r="B96" s="35"/>
      <c r="C96" s="37"/>
      <c r="D96" s="37"/>
      <c r="E96" s="37"/>
      <c r="F96" s="37"/>
      <c r="G96" s="37"/>
      <c r="H96" s="37"/>
      <c r="I96" s="37"/>
      <c r="J96" s="37"/>
    </row>
    <row r="97" spans="1:10" ht="16.5" thickBot="1">
      <c r="A97" s="38">
        <v>710</v>
      </c>
      <c r="B97" s="39" t="s">
        <v>36</v>
      </c>
      <c r="C97" s="40">
        <f>SUM(C99,C111,C120)</f>
        <v>725230</v>
      </c>
      <c r="D97" s="40">
        <f>SUM(D99,D111,D120)</f>
        <v>691990</v>
      </c>
      <c r="E97" s="40">
        <f>SUM(E99,E111,E120)</f>
        <v>308166.62</v>
      </c>
      <c r="F97" s="19">
        <f>SUM(E97/D97)*100</f>
        <v>44.533392101041926</v>
      </c>
      <c r="G97" s="40">
        <f>SUM(G99,G111,G120)</f>
        <v>499019.65</v>
      </c>
      <c r="H97" s="40">
        <f>SUM(H99,H111,H120)</f>
        <v>2443820</v>
      </c>
      <c r="I97" s="40">
        <f>SUM(I99,I111,I120)</f>
        <v>864542</v>
      </c>
      <c r="J97" s="19">
        <f>SUM(I97/G97)*100</f>
        <v>173.24808752521068</v>
      </c>
    </row>
    <row r="98" spans="1:10" ht="12.75" customHeight="1" thickTop="1">
      <c r="A98" s="14"/>
      <c r="B98" s="14"/>
      <c r="C98" s="41"/>
      <c r="D98" s="41"/>
      <c r="E98" s="41"/>
      <c r="F98" s="41"/>
      <c r="G98" s="41"/>
      <c r="H98" s="41"/>
      <c r="I98" s="41"/>
      <c r="J98" s="41"/>
    </row>
    <row r="99" spans="1:10" ht="15.75">
      <c r="A99" s="42">
        <v>71004</v>
      </c>
      <c r="B99" s="69" t="s">
        <v>37</v>
      </c>
      <c r="C99" s="25">
        <f>SUM(C101:C109)</f>
        <v>231730</v>
      </c>
      <c r="D99" s="25">
        <f>SUM(D101:D109)</f>
        <v>295690</v>
      </c>
      <c r="E99" s="25">
        <f>SUM(E101:E109)</f>
        <v>102745</v>
      </c>
      <c r="F99" s="44">
        <f>SUM(E99/D99)*100</f>
        <v>34.74753965301498</v>
      </c>
      <c r="G99" s="25">
        <f>SUM(G101:G109)</f>
        <v>102745</v>
      </c>
      <c r="H99" s="25">
        <f>SUM(H101:H109)</f>
        <v>295020</v>
      </c>
      <c r="I99" s="25">
        <f>SUM(I101:I109)</f>
        <v>195020</v>
      </c>
      <c r="J99" s="44">
        <f>SUM(I99/G99)*100</f>
        <v>189.80972310088083</v>
      </c>
    </row>
    <row r="100" spans="1:10" ht="5.25" customHeight="1">
      <c r="A100" s="14"/>
      <c r="B100" s="74"/>
      <c r="C100" s="45"/>
      <c r="D100" s="45"/>
      <c r="E100" s="45"/>
      <c r="F100" s="45"/>
      <c r="G100" s="45"/>
      <c r="H100" s="45"/>
      <c r="I100" s="45"/>
      <c r="J100" s="45"/>
    </row>
    <row r="101" spans="1:10" ht="180.75" customHeight="1">
      <c r="A101" s="46"/>
      <c r="B101" s="47" t="s">
        <v>234</v>
      </c>
      <c r="C101" s="31">
        <f>64660+32940+530+270</f>
        <v>98400</v>
      </c>
      <c r="D101" s="31">
        <f>64660+32940+530+270</f>
        <v>98400</v>
      </c>
      <c r="E101" s="31">
        <v>33210</v>
      </c>
      <c r="F101" s="30">
        <f>SUM(E101/D101)*100</f>
        <v>33.75</v>
      </c>
      <c r="G101" s="31">
        <v>33210</v>
      </c>
      <c r="H101" s="31">
        <v>65190</v>
      </c>
      <c r="I101" s="31">
        <v>65190</v>
      </c>
      <c r="J101" s="30">
        <f>SUM(I101/G101)*100</f>
        <v>196.2962962962963</v>
      </c>
    </row>
    <row r="102" spans="1:10" ht="28.5" customHeight="1">
      <c r="A102" s="46"/>
      <c r="B102" s="47" t="s">
        <v>386</v>
      </c>
      <c r="C102" s="31">
        <f>66000-810</f>
        <v>65190</v>
      </c>
      <c r="D102" s="31">
        <f>66000-810</f>
        <v>65190</v>
      </c>
      <c r="E102" s="31">
        <v>65190</v>
      </c>
      <c r="F102" s="30">
        <f aca="true" t="shared" si="0" ref="F102:F109">SUM(E102/D102)*100</f>
        <v>100</v>
      </c>
      <c r="G102" s="31">
        <v>65190</v>
      </c>
      <c r="H102" s="31">
        <v>0</v>
      </c>
      <c r="I102" s="31">
        <v>0</v>
      </c>
      <c r="J102" s="30">
        <f>SUM(I102/G102)*100</f>
        <v>0</v>
      </c>
    </row>
    <row r="103" spans="1:10" ht="92.25" customHeight="1">
      <c r="A103" s="46"/>
      <c r="B103" s="47" t="s">
        <v>235</v>
      </c>
      <c r="C103" s="31">
        <f>58560+480</f>
        <v>59040</v>
      </c>
      <c r="D103" s="31">
        <f>58560+480</f>
        <v>59040</v>
      </c>
      <c r="E103" s="31">
        <v>0</v>
      </c>
      <c r="F103" s="30">
        <f t="shared" si="0"/>
        <v>0</v>
      </c>
      <c r="G103" s="31">
        <v>0</v>
      </c>
      <c r="H103" s="31">
        <v>59040</v>
      </c>
      <c r="I103" s="31">
        <v>59040</v>
      </c>
      <c r="J103" s="30">
        <v>0</v>
      </c>
    </row>
    <row r="104" spans="1:10" ht="75">
      <c r="A104" s="46"/>
      <c r="B104" s="47" t="s">
        <v>236</v>
      </c>
      <c r="C104" s="31">
        <v>1500</v>
      </c>
      <c r="D104" s="31">
        <v>1500</v>
      </c>
      <c r="E104" s="31">
        <v>0</v>
      </c>
      <c r="F104" s="30">
        <f t="shared" si="0"/>
        <v>0</v>
      </c>
      <c r="G104" s="31">
        <v>0</v>
      </c>
      <c r="H104" s="31">
        <v>1230</v>
      </c>
      <c r="I104" s="31">
        <v>1230</v>
      </c>
      <c r="J104" s="30">
        <v>0</v>
      </c>
    </row>
    <row r="105" spans="1:10" ht="46.5" customHeight="1">
      <c r="A105" s="46"/>
      <c r="B105" s="47" t="s">
        <v>237</v>
      </c>
      <c r="C105" s="31">
        <f>90000-30000-60000</f>
        <v>0</v>
      </c>
      <c r="D105" s="31">
        <v>35670</v>
      </c>
      <c r="E105" s="31">
        <f>90000-30000-60000</f>
        <v>0</v>
      </c>
      <c r="F105" s="30">
        <f t="shared" si="0"/>
        <v>0</v>
      </c>
      <c r="G105" s="31">
        <f>90000-30000-60000</f>
        <v>0</v>
      </c>
      <c r="H105" s="31">
        <v>35670</v>
      </c>
      <c r="I105" s="31">
        <v>35670</v>
      </c>
      <c r="J105" s="30">
        <v>0</v>
      </c>
    </row>
    <row r="106" spans="1:10" ht="45">
      <c r="A106" s="46"/>
      <c r="B106" s="47" t="s">
        <v>238</v>
      </c>
      <c r="C106" s="31">
        <v>0</v>
      </c>
      <c r="D106" s="31">
        <v>28290</v>
      </c>
      <c r="E106" s="31">
        <v>0</v>
      </c>
      <c r="F106" s="30">
        <f t="shared" si="0"/>
        <v>0</v>
      </c>
      <c r="G106" s="31">
        <v>0</v>
      </c>
      <c r="H106" s="31">
        <v>28290</v>
      </c>
      <c r="I106" s="31">
        <v>28290</v>
      </c>
      <c r="J106" s="30">
        <v>0</v>
      </c>
    </row>
    <row r="107" spans="1:10" ht="30">
      <c r="A107" s="46"/>
      <c r="B107" s="47" t="s">
        <v>239</v>
      </c>
      <c r="C107" s="31"/>
      <c r="D107" s="31">
        <v>0</v>
      </c>
      <c r="E107" s="31">
        <v>0</v>
      </c>
      <c r="F107" s="30">
        <v>0</v>
      </c>
      <c r="G107" s="31">
        <v>0</v>
      </c>
      <c r="H107" s="31">
        <v>100000</v>
      </c>
      <c r="I107" s="31">
        <f>100000-100000</f>
        <v>0</v>
      </c>
      <c r="J107" s="30">
        <v>0</v>
      </c>
    </row>
    <row r="108" spans="1:10" ht="15">
      <c r="A108" s="46"/>
      <c r="B108" s="70" t="s">
        <v>110</v>
      </c>
      <c r="C108" s="31">
        <v>4000</v>
      </c>
      <c r="D108" s="31">
        <v>4000</v>
      </c>
      <c r="E108" s="31">
        <v>2345</v>
      </c>
      <c r="F108" s="30">
        <f t="shared" si="0"/>
        <v>58.62500000000001</v>
      </c>
      <c r="G108" s="31">
        <v>2345</v>
      </c>
      <c r="H108" s="31">
        <v>2000</v>
      </c>
      <c r="I108" s="31">
        <v>2000</v>
      </c>
      <c r="J108" s="30">
        <f>SUM(I108/G108)*100</f>
        <v>85.28784648187633</v>
      </c>
    </row>
    <row r="109" spans="1:10" ht="30">
      <c r="A109" s="46"/>
      <c r="B109" s="70" t="s">
        <v>385</v>
      </c>
      <c r="C109" s="31">
        <v>3600</v>
      </c>
      <c r="D109" s="31">
        <v>3600</v>
      </c>
      <c r="E109" s="31">
        <v>2000</v>
      </c>
      <c r="F109" s="30">
        <f t="shared" si="0"/>
        <v>55.55555555555556</v>
      </c>
      <c r="G109" s="31">
        <v>2000</v>
      </c>
      <c r="H109" s="31">
        <v>3600</v>
      </c>
      <c r="I109" s="31">
        <v>3600</v>
      </c>
      <c r="J109" s="30">
        <f>SUM(I109/G109)*100</f>
        <v>180</v>
      </c>
    </row>
    <row r="110" spans="1:10" ht="12" customHeight="1">
      <c r="A110" s="35"/>
      <c r="B110" s="74"/>
      <c r="C110" s="37"/>
      <c r="D110" s="37"/>
      <c r="E110" s="37"/>
      <c r="F110" s="37"/>
      <c r="G110" s="37"/>
      <c r="H110" s="37"/>
      <c r="I110" s="37"/>
      <c r="J110" s="37"/>
    </row>
    <row r="111" spans="1:10" ht="15.75">
      <c r="A111" s="42">
        <v>71014</v>
      </c>
      <c r="B111" s="69" t="s">
        <v>38</v>
      </c>
      <c r="C111" s="27">
        <f>SUM(C113)</f>
        <v>500</v>
      </c>
      <c r="D111" s="27">
        <f>SUM(D113)</f>
        <v>500</v>
      </c>
      <c r="E111" s="27">
        <f>SUM(E113)</f>
        <v>444.65</v>
      </c>
      <c r="F111" s="44">
        <f>SUM(E111/D111)*100</f>
        <v>88.92999999999999</v>
      </c>
      <c r="G111" s="27">
        <f>SUM(G113)</f>
        <v>474.65</v>
      </c>
      <c r="H111" s="27">
        <f>SUM(H113)</f>
        <v>1000</v>
      </c>
      <c r="I111" s="27">
        <f>SUM(I113)</f>
        <v>1000</v>
      </c>
      <c r="J111" s="44">
        <f>SUM(I111/G111)*100</f>
        <v>210.68155482987464</v>
      </c>
    </row>
    <row r="112" spans="1:10" ht="6.75" customHeight="1">
      <c r="A112" s="35"/>
      <c r="B112" s="82"/>
      <c r="C112" s="45"/>
      <c r="D112" s="45"/>
      <c r="E112" s="45"/>
      <c r="F112" s="45"/>
      <c r="G112" s="45"/>
      <c r="H112" s="45"/>
      <c r="I112" s="45"/>
      <c r="J112" s="45"/>
    </row>
    <row r="113" spans="1:10" ht="30">
      <c r="A113" s="43"/>
      <c r="B113" s="70" t="s">
        <v>12</v>
      </c>
      <c r="C113" s="31">
        <v>500</v>
      </c>
      <c r="D113" s="31">
        <v>500</v>
      </c>
      <c r="E113" s="31">
        <v>444.65</v>
      </c>
      <c r="F113" s="30">
        <f>SUM(E113/D113)*100</f>
        <v>88.92999999999999</v>
      </c>
      <c r="G113" s="31">
        <v>474.65</v>
      </c>
      <c r="H113" s="31">
        <v>1000</v>
      </c>
      <c r="I113" s="31">
        <v>1000</v>
      </c>
      <c r="J113" s="30">
        <f>SUM(I113/G113)*100</f>
        <v>210.68155482987464</v>
      </c>
    </row>
    <row r="114" spans="1:10" ht="16.5" thickBot="1">
      <c r="A114" s="32"/>
      <c r="B114" s="80"/>
      <c r="C114" s="81"/>
      <c r="D114" s="81"/>
      <c r="E114" s="81"/>
      <c r="F114" s="81"/>
      <c r="G114" s="81"/>
      <c r="H114" s="81"/>
      <c r="I114" s="81"/>
      <c r="J114" s="81"/>
    </row>
    <row r="115" spans="1:10" ht="15.75">
      <c r="A115" s="2"/>
      <c r="B115" s="3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5" t="s">
        <v>22</v>
      </c>
      <c r="B116" s="6" t="s">
        <v>1</v>
      </c>
      <c r="C116" s="7" t="s">
        <v>120</v>
      </c>
      <c r="D116" s="7" t="s">
        <v>120</v>
      </c>
      <c r="E116" s="7" t="s">
        <v>146</v>
      </c>
      <c r="F116" s="7" t="s">
        <v>21</v>
      </c>
      <c r="G116" s="7" t="s">
        <v>211</v>
      </c>
      <c r="H116" s="7" t="s">
        <v>216</v>
      </c>
      <c r="I116" s="7" t="s">
        <v>213</v>
      </c>
      <c r="J116" s="7" t="s">
        <v>21</v>
      </c>
    </row>
    <row r="117" spans="1:10" ht="15.75">
      <c r="A117" s="5" t="s">
        <v>24</v>
      </c>
      <c r="B117" s="8"/>
      <c r="C117" s="7" t="s">
        <v>181</v>
      </c>
      <c r="D117" s="7" t="s">
        <v>210</v>
      </c>
      <c r="E117" s="7" t="s">
        <v>210</v>
      </c>
      <c r="F117" s="7" t="s">
        <v>10</v>
      </c>
      <c r="G117" s="7" t="s">
        <v>212</v>
      </c>
      <c r="H117" s="7" t="s">
        <v>217</v>
      </c>
      <c r="I117" s="7" t="s">
        <v>214</v>
      </c>
      <c r="J117" s="7" t="s">
        <v>10</v>
      </c>
    </row>
    <row r="118" spans="1:10" ht="16.5" thickBot="1">
      <c r="A118" s="9"/>
      <c r="B118" s="10"/>
      <c r="C118" s="11" t="s">
        <v>140</v>
      </c>
      <c r="D118" s="11" t="s">
        <v>140</v>
      </c>
      <c r="E118" s="11" t="s">
        <v>140</v>
      </c>
      <c r="F118" s="11"/>
      <c r="G118" s="11" t="s">
        <v>215</v>
      </c>
      <c r="H118" s="11" t="s">
        <v>140</v>
      </c>
      <c r="I118" s="11" t="s">
        <v>140</v>
      </c>
      <c r="J118" s="11"/>
    </row>
    <row r="119" spans="1:10" ht="12.75" customHeight="1">
      <c r="A119" s="14"/>
      <c r="B119" s="74"/>
      <c r="C119" s="37"/>
      <c r="D119" s="37"/>
      <c r="E119" s="37"/>
      <c r="F119" s="37"/>
      <c r="G119" s="37"/>
      <c r="H119" s="37"/>
      <c r="I119" s="37"/>
      <c r="J119" s="37"/>
    </row>
    <row r="120" spans="1:10" ht="15.75">
      <c r="A120" s="42">
        <v>71035</v>
      </c>
      <c r="B120" s="83" t="s">
        <v>93</v>
      </c>
      <c r="C120" s="25">
        <f>SUM(C122,C130)</f>
        <v>493000</v>
      </c>
      <c r="D120" s="25">
        <f>SUM(D122,D130)</f>
        <v>395800</v>
      </c>
      <c r="E120" s="25">
        <f>SUM(E122,E130)</f>
        <v>204976.97</v>
      </c>
      <c r="F120" s="44">
        <f>SUM(E120/D120)*100</f>
        <v>51.788016675088436</v>
      </c>
      <c r="G120" s="25">
        <f>SUM(G122,G130)</f>
        <v>395800</v>
      </c>
      <c r="H120" s="25">
        <f>SUM(H122,H130)</f>
        <v>2147800</v>
      </c>
      <c r="I120" s="25">
        <f>SUM(I122,I130)</f>
        <v>668522</v>
      </c>
      <c r="J120" s="44">
        <f>SUM(I120/G120)*100</f>
        <v>168.90399191510863</v>
      </c>
    </row>
    <row r="121" spans="1:10" ht="12.75" customHeight="1">
      <c r="A121" s="84"/>
      <c r="B121" s="85"/>
      <c r="C121" s="41"/>
      <c r="D121" s="41"/>
      <c r="E121" s="41"/>
      <c r="F121" s="41"/>
      <c r="G121" s="41"/>
      <c r="H121" s="41"/>
      <c r="I121" s="41"/>
      <c r="J121" s="41"/>
    </row>
    <row r="122" spans="1:10" ht="15.75">
      <c r="A122" s="84"/>
      <c r="B122" s="64" t="s">
        <v>126</v>
      </c>
      <c r="C122" s="26">
        <f>SUM(C124:C128)</f>
        <v>323000</v>
      </c>
      <c r="D122" s="27">
        <f>SUM(D124:D128)</f>
        <v>323000</v>
      </c>
      <c r="E122" s="27">
        <f>SUM(E124:E128)</f>
        <v>202176.97</v>
      </c>
      <c r="F122" s="166">
        <f>SUM(E122/D122)*100</f>
        <v>62.59348916408669</v>
      </c>
      <c r="G122" s="27">
        <f>SUM(G124:G128)</f>
        <v>323000</v>
      </c>
      <c r="H122" s="27">
        <f>SUM(H124:H128)</f>
        <v>887800</v>
      </c>
      <c r="I122" s="27">
        <f>SUM(I124:I128)</f>
        <v>213800</v>
      </c>
      <c r="J122" s="166">
        <f>SUM(I122/G122)*100</f>
        <v>66.19195046439629</v>
      </c>
    </row>
    <row r="123" spans="1:10" ht="12.75" customHeight="1">
      <c r="A123" s="84"/>
      <c r="B123" s="64" t="s">
        <v>3</v>
      </c>
      <c r="C123" s="49"/>
      <c r="D123" s="49"/>
      <c r="E123" s="49"/>
      <c r="F123" s="49"/>
      <c r="G123" s="49"/>
      <c r="H123" s="49"/>
      <c r="I123" s="49"/>
      <c r="J123" s="49"/>
    </row>
    <row r="124" spans="1:10" ht="15.75">
      <c r="A124" s="84"/>
      <c r="B124" s="47" t="s">
        <v>243</v>
      </c>
      <c r="C124" s="31">
        <f>417000-10000-57000-30000</f>
        <v>320000</v>
      </c>
      <c r="D124" s="31">
        <f>417000-10000-57000-30000</f>
        <v>320000</v>
      </c>
      <c r="E124" s="31">
        <v>199176.97</v>
      </c>
      <c r="F124" s="30">
        <f>SUM(E124/D124)*100</f>
        <v>62.242803125</v>
      </c>
      <c r="G124" s="31">
        <v>320000</v>
      </c>
      <c r="H124" s="31">
        <v>421800</v>
      </c>
      <c r="I124" s="31">
        <f>421800-70000-21000-120000</f>
        <v>210800</v>
      </c>
      <c r="J124" s="30">
        <f>SUM(I124/G124)*100</f>
        <v>65.875</v>
      </c>
    </row>
    <row r="125" spans="1:10" ht="30.75">
      <c r="A125" s="84"/>
      <c r="B125" s="47" t="s">
        <v>245</v>
      </c>
      <c r="C125" s="31"/>
      <c r="D125" s="31">
        <v>0</v>
      </c>
      <c r="E125" s="31">
        <v>0</v>
      </c>
      <c r="F125" s="30">
        <v>0</v>
      </c>
      <c r="G125" s="31">
        <v>0</v>
      </c>
      <c r="H125" s="31">
        <v>60000</v>
      </c>
      <c r="I125" s="31">
        <f>60000-60000</f>
        <v>0</v>
      </c>
      <c r="J125" s="30">
        <v>0</v>
      </c>
    </row>
    <row r="126" spans="1:10" ht="30.75">
      <c r="A126" s="84"/>
      <c r="B126" s="47" t="s">
        <v>247</v>
      </c>
      <c r="C126" s="31"/>
      <c r="D126" s="31">
        <v>0</v>
      </c>
      <c r="E126" s="31">
        <v>0</v>
      </c>
      <c r="F126" s="30">
        <v>0</v>
      </c>
      <c r="G126" s="31">
        <v>0</v>
      </c>
      <c r="H126" s="31">
        <v>163000</v>
      </c>
      <c r="I126" s="31">
        <f>163000-163000</f>
        <v>0</v>
      </c>
      <c r="J126" s="30">
        <v>0</v>
      </c>
    </row>
    <row r="127" spans="1:10" ht="30.75">
      <c r="A127" s="84"/>
      <c r="B127" s="47" t="s">
        <v>246</v>
      </c>
      <c r="C127" s="31"/>
      <c r="D127" s="31">
        <v>0</v>
      </c>
      <c r="E127" s="31">
        <v>0</v>
      </c>
      <c r="F127" s="30">
        <v>0</v>
      </c>
      <c r="G127" s="31">
        <v>0</v>
      </c>
      <c r="H127" s="31">
        <v>240000</v>
      </c>
      <c r="I127" s="31">
        <f>240000-100000-140000</f>
        <v>0</v>
      </c>
      <c r="J127" s="30">
        <v>0</v>
      </c>
    </row>
    <row r="128" spans="1:10" ht="45.75">
      <c r="A128" s="84"/>
      <c r="B128" s="47" t="s">
        <v>244</v>
      </c>
      <c r="C128" s="31">
        <v>3000</v>
      </c>
      <c r="D128" s="31">
        <v>3000</v>
      </c>
      <c r="E128" s="31">
        <v>3000</v>
      </c>
      <c r="F128" s="30">
        <f>SUM(E128/D128)*100</f>
        <v>100</v>
      </c>
      <c r="G128" s="31">
        <v>3000</v>
      </c>
      <c r="H128" s="31">
        <v>3000</v>
      </c>
      <c r="I128" s="31">
        <v>3000</v>
      </c>
      <c r="J128" s="30">
        <f>SUM(I128/G128)*100</f>
        <v>100</v>
      </c>
    </row>
    <row r="129" spans="1:10" ht="12.75" customHeight="1">
      <c r="A129" s="84"/>
      <c r="B129" s="73"/>
      <c r="C129" s="41"/>
      <c r="D129" s="41"/>
      <c r="E129" s="41"/>
      <c r="F129" s="41"/>
      <c r="G129" s="41"/>
      <c r="H129" s="41"/>
      <c r="I129" s="41"/>
      <c r="J129" s="41"/>
    </row>
    <row r="130" spans="1:10" ht="15.75">
      <c r="A130" s="84"/>
      <c r="B130" s="73" t="s">
        <v>127</v>
      </c>
      <c r="C130" s="26">
        <f>SUM(C132:C134)</f>
        <v>170000</v>
      </c>
      <c r="D130" s="27">
        <f>SUM(D132:D134)</f>
        <v>72800</v>
      </c>
      <c r="E130" s="27">
        <f>SUM(E132:E134)</f>
        <v>2800</v>
      </c>
      <c r="F130" s="166">
        <f>SUM(E130/D130)*100</f>
        <v>3.8461538461538463</v>
      </c>
      <c r="G130" s="27">
        <f>SUM(G132:G134)</f>
        <v>72800</v>
      </c>
      <c r="H130" s="27">
        <f>SUM(H132:H134)</f>
        <v>1260000</v>
      </c>
      <c r="I130" s="27">
        <f>SUM(I132:I134)</f>
        <v>454722</v>
      </c>
      <c r="J130" s="166">
        <f>SUM(I130/G130)*100</f>
        <v>624.6181318681319</v>
      </c>
    </row>
    <row r="131" spans="1:10" ht="15.75">
      <c r="A131" s="84"/>
      <c r="B131" s="73" t="s">
        <v>3</v>
      </c>
      <c r="C131" s="86"/>
      <c r="D131" s="86"/>
      <c r="E131" s="86"/>
      <c r="F131" s="86"/>
      <c r="G131" s="86"/>
      <c r="H131" s="86"/>
      <c r="I131" s="86"/>
      <c r="J131" s="86"/>
    </row>
    <row r="132" spans="1:10" ht="30">
      <c r="A132" s="84"/>
      <c r="B132" s="70" t="s">
        <v>240</v>
      </c>
      <c r="C132" s="31">
        <v>70000</v>
      </c>
      <c r="D132" s="31">
        <v>70000</v>
      </c>
      <c r="E132" s="31">
        <v>0</v>
      </c>
      <c r="F132" s="30">
        <f>SUM(E132/D132)*100</f>
        <v>0</v>
      </c>
      <c r="G132" s="31">
        <v>70000</v>
      </c>
      <c r="H132" s="31">
        <v>0</v>
      </c>
      <c r="I132" s="31">
        <v>0</v>
      </c>
      <c r="J132" s="30">
        <f>SUM(I132/G132)*100</f>
        <v>0</v>
      </c>
    </row>
    <row r="133" spans="1:10" ht="30.75">
      <c r="A133" s="84"/>
      <c r="B133" s="47" t="s">
        <v>241</v>
      </c>
      <c r="C133" s="31">
        <v>100000</v>
      </c>
      <c r="D133" s="31">
        <v>2800</v>
      </c>
      <c r="E133" s="31">
        <v>2800</v>
      </c>
      <c r="F133" s="30">
        <f>SUM(E133/D133)*100</f>
        <v>100</v>
      </c>
      <c r="G133" s="31">
        <v>2800</v>
      </c>
      <c r="H133" s="31">
        <v>1200000</v>
      </c>
      <c r="I133" s="31">
        <f>1200000-600000-148312-500+3534</f>
        <v>454722</v>
      </c>
      <c r="J133" s="30">
        <f>SUM(I133/G133)*100</f>
        <v>16240.07142857143</v>
      </c>
    </row>
    <row r="134" spans="1:10" ht="30">
      <c r="A134" s="42"/>
      <c r="B134" s="76" t="s">
        <v>242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60000</v>
      </c>
      <c r="I134" s="77">
        <f>60000-60000</f>
        <v>0</v>
      </c>
      <c r="J134" s="77">
        <v>0</v>
      </c>
    </row>
    <row r="135" spans="1:10" ht="12.75" customHeight="1">
      <c r="A135" s="35"/>
      <c r="B135" s="35"/>
      <c r="C135" s="37"/>
      <c r="D135" s="37"/>
      <c r="E135" s="37"/>
      <c r="F135" s="37"/>
      <c r="G135" s="37"/>
      <c r="H135" s="37"/>
      <c r="I135" s="37"/>
      <c r="J135" s="37"/>
    </row>
    <row r="136" spans="1:10" ht="16.5" thickBot="1">
      <c r="A136" s="38">
        <v>750</v>
      </c>
      <c r="B136" s="39" t="s">
        <v>39</v>
      </c>
      <c r="C136" s="40">
        <f>SUM(C138,C142,C149,C168,C174,C186)</f>
        <v>10180539</v>
      </c>
      <c r="D136" s="40">
        <f>SUM(D138,D142,D149,D168,D174,D186)</f>
        <v>9939959</v>
      </c>
      <c r="E136" s="40">
        <f>SUM(E138,E142,E149,E168,E174,E186)</f>
        <v>6007145.049999999</v>
      </c>
      <c r="F136" s="19">
        <f>SUM(E136/D136)*100</f>
        <v>60.43430410527849</v>
      </c>
      <c r="G136" s="40">
        <f>SUM(G138,G142,G149,G168,G174,G186)</f>
        <v>9085977.540000001</v>
      </c>
      <c r="H136" s="40">
        <f>SUM(H138,H142,H149,H168,H174,H186)</f>
        <v>12884902</v>
      </c>
      <c r="I136" s="40">
        <f>SUM(I138,I142,I149,I168,I174,I186)</f>
        <v>11362902</v>
      </c>
      <c r="J136" s="19">
        <f>SUM(I136/G136)*100</f>
        <v>125.05976324480326</v>
      </c>
    </row>
    <row r="137" spans="1:10" ht="12.75" customHeight="1" thickTop="1">
      <c r="A137" s="14"/>
      <c r="B137" s="14"/>
      <c r="C137" s="27"/>
      <c r="D137" s="27"/>
      <c r="E137" s="27"/>
      <c r="F137" s="27"/>
      <c r="G137" s="27"/>
      <c r="H137" s="27"/>
      <c r="I137" s="27"/>
      <c r="J137" s="27"/>
    </row>
    <row r="138" spans="1:10" ht="15.75">
      <c r="A138" s="42">
        <v>75011</v>
      </c>
      <c r="B138" s="43" t="s">
        <v>40</v>
      </c>
      <c r="C138" s="25">
        <f>SUM(C140:C140)</f>
        <v>287790</v>
      </c>
      <c r="D138" s="25">
        <f>SUM(D140:D140)</f>
        <v>287790</v>
      </c>
      <c r="E138" s="25">
        <f>SUM(E140:E140)</f>
        <v>215841</v>
      </c>
      <c r="F138" s="44">
        <f>SUM(E138/D138)*100</f>
        <v>74.99947878661524</v>
      </c>
      <c r="G138" s="25">
        <f>SUM(G140:G140)</f>
        <v>287790</v>
      </c>
      <c r="H138" s="25">
        <f>SUM(H140:H140)</f>
        <v>288194</v>
      </c>
      <c r="I138" s="25">
        <f>SUM(I140:I140)</f>
        <v>288194</v>
      </c>
      <c r="J138" s="44">
        <f>SUM(I138/G138)*100</f>
        <v>100.1403801382953</v>
      </c>
    </row>
    <row r="139" spans="1:10" ht="12.75" customHeight="1">
      <c r="A139" s="14"/>
      <c r="B139" s="14"/>
      <c r="C139" s="45"/>
      <c r="D139" s="45"/>
      <c r="E139" s="45"/>
      <c r="F139" s="45"/>
      <c r="G139" s="45"/>
      <c r="H139" s="45"/>
      <c r="I139" s="45"/>
      <c r="J139" s="45"/>
    </row>
    <row r="140" spans="1:10" ht="60.75">
      <c r="A140" s="14"/>
      <c r="B140" s="47" t="s">
        <v>186</v>
      </c>
      <c r="C140" s="31">
        <v>287790</v>
      </c>
      <c r="D140" s="31">
        <v>287790</v>
      </c>
      <c r="E140" s="31">
        <v>215841</v>
      </c>
      <c r="F140" s="30">
        <f>SUM(E140/D140)*100</f>
        <v>74.99947878661524</v>
      </c>
      <c r="G140" s="31">
        <v>287790</v>
      </c>
      <c r="H140" s="31">
        <v>288194</v>
      </c>
      <c r="I140" s="31">
        <v>288194</v>
      </c>
      <c r="J140" s="30">
        <f>SUM(I140/G140)*100</f>
        <v>100.1403801382953</v>
      </c>
    </row>
    <row r="141" spans="1:10" ht="12.75" customHeight="1">
      <c r="A141" s="14"/>
      <c r="B141" s="14"/>
      <c r="C141" s="41"/>
      <c r="D141" s="41"/>
      <c r="E141" s="41"/>
      <c r="F141" s="41"/>
      <c r="G141" s="41"/>
      <c r="H141" s="41"/>
      <c r="I141" s="41"/>
      <c r="J141" s="41"/>
    </row>
    <row r="142" spans="1:10" ht="15.75">
      <c r="A142" s="42">
        <v>75022</v>
      </c>
      <c r="B142" s="43" t="s">
        <v>41</v>
      </c>
      <c r="C142" s="25">
        <f>SUM(C144:C147)</f>
        <v>297328</v>
      </c>
      <c r="D142" s="25">
        <f>SUM(D144:D147)</f>
        <v>297328</v>
      </c>
      <c r="E142" s="25">
        <f>SUM(E144:E147)</f>
        <v>215939.27000000002</v>
      </c>
      <c r="F142" s="44">
        <f>SUM(E142/D142)*100</f>
        <v>72.62661774202228</v>
      </c>
      <c r="G142" s="25">
        <f>SUM(G144:G147)</f>
        <v>290928</v>
      </c>
      <c r="H142" s="25">
        <f>SUM(H144:H147)</f>
        <v>305868</v>
      </c>
      <c r="I142" s="25">
        <f>SUM(I144:I147)</f>
        <v>293868</v>
      </c>
      <c r="J142" s="44">
        <f>SUM(I142/G142)*100</f>
        <v>101.01055931364462</v>
      </c>
    </row>
    <row r="143" spans="1:10" ht="12.75" customHeight="1">
      <c r="A143" s="14"/>
      <c r="B143" s="14"/>
      <c r="C143" s="27"/>
      <c r="D143" s="27"/>
      <c r="E143" s="27"/>
      <c r="F143" s="27"/>
      <c r="G143" s="27"/>
      <c r="H143" s="27"/>
      <c r="I143" s="27"/>
      <c r="J143" s="27"/>
    </row>
    <row r="144" spans="1:10" ht="15.75">
      <c r="A144" s="14"/>
      <c r="B144" s="28" t="s">
        <v>250</v>
      </c>
      <c r="C144" s="31">
        <f>299328-18000</f>
        <v>281328</v>
      </c>
      <c r="D144" s="31">
        <f>299328-18000</f>
        <v>281328</v>
      </c>
      <c r="E144" s="31">
        <v>210854.64</v>
      </c>
      <c r="F144" s="30">
        <f>SUM(E144/D144)*100</f>
        <v>74.94975260194506</v>
      </c>
      <c r="G144" s="31">
        <v>281328</v>
      </c>
      <c r="H144" s="31">
        <v>292168</v>
      </c>
      <c r="I144" s="31">
        <f>292168-10000</f>
        <v>282168</v>
      </c>
      <c r="J144" s="30">
        <f>SUM(I144/G144)*100</f>
        <v>100.29858385940966</v>
      </c>
    </row>
    <row r="145" spans="1:10" ht="15.75">
      <c r="A145" s="14"/>
      <c r="B145" s="28" t="s">
        <v>251</v>
      </c>
      <c r="C145" s="31">
        <v>1000</v>
      </c>
      <c r="D145" s="31">
        <v>1000</v>
      </c>
      <c r="E145" s="31">
        <v>800</v>
      </c>
      <c r="F145" s="30">
        <f>SUM(E145/D145)*100</f>
        <v>80</v>
      </c>
      <c r="G145" s="31">
        <v>800</v>
      </c>
      <c r="H145" s="31">
        <v>1000</v>
      </c>
      <c r="I145" s="31">
        <v>1000</v>
      </c>
      <c r="J145" s="30">
        <f>SUM(I145/G145)*100</f>
        <v>125</v>
      </c>
    </row>
    <row r="146" spans="1:10" ht="15.75">
      <c r="A146" s="14"/>
      <c r="B146" s="47" t="s">
        <v>252</v>
      </c>
      <c r="C146" s="31">
        <v>10000</v>
      </c>
      <c r="D146" s="31">
        <v>10000</v>
      </c>
      <c r="E146" s="31">
        <v>4284.63</v>
      </c>
      <c r="F146" s="30">
        <f>SUM(E146/D146)*100</f>
        <v>42.84630000000001</v>
      </c>
      <c r="G146" s="31">
        <v>8800</v>
      </c>
      <c r="H146" s="31">
        <v>10700</v>
      </c>
      <c r="I146" s="31">
        <f>10700-2000</f>
        <v>8700</v>
      </c>
      <c r="J146" s="30">
        <f>SUM(I146/G146)*100</f>
        <v>98.86363636363636</v>
      </c>
    </row>
    <row r="147" spans="1:10" ht="15.75">
      <c r="A147" s="43"/>
      <c r="B147" s="89" t="s">
        <v>253</v>
      </c>
      <c r="C147" s="77">
        <v>5000</v>
      </c>
      <c r="D147" s="77">
        <v>5000</v>
      </c>
      <c r="E147" s="77">
        <v>0</v>
      </c>
      <c r="F147" s="30">
        <f>SUM(E147/D147)*100</f>
        <v>0</v>
      </c>
      <c r="G147" s="77">
        <v>0</v>
      </c>
      <c r="H147" s="77">
        <v>2000</v>
      </c>
      <c r="I147" s="77">
        <v>2000</v>
      </c>
      <c r="J147" s="30">
        <v>0</v>
      </c>
    </row>
    <row r="148" spans="1:10" ht="12.75" customHeight="1">
      <c r="A148" s="35"/>
      <c r="B148" s="35"/>
      <c r="C148" s="37"/>
      <c r="D148" s="37"/>
      <c r="E148" s="37"/>
      <c r="F148" s="37"/>
      <c r="G148" s="37"/>
      <c r="H148" s="37"/>
      <c r="I148" s="37"/>
      <c r="J148" s="37"/>
    </row>
    <row r="149" spans="1:10" ht="15.75">
      <c r="A149" s="42">
        <v>75023</v>
      </c>
      <c r="B149" s="43" t="s">
        <v>42</v>
      </c>
      <c r="C149" s="150">
        <f>SUM(C151,C162)</f>
        <v>9141069</v>
      </c>
      <c r="D149" s="150">
        <f>SUM(D151,D162)</f>
        <v>8913569</v>
      </c>
      <c r="E149" s="150">
        <f>SUM(E151,E162)</f>
        <v>5377359.209999999</v>
      </c>
      <c r="F149" s="44">
        <f>SUM(E149/D149)*100</f>
        <v>60.32779024877688</v>
      </c>
      <c r="G149" s="150">
        <f>SUM(G151,G162)</f>
        <v>8189201</v>
      </c>
      <c r="H149" s="150">
        <f>SUM(H151,H162)</f>
        <v>11805488</v>
      </c>
      <c r="I149" s="150">
        <f>SUM(I151,I162)</f>
        <v>10395488</v>
      </c>
      <c r="J149" s="44">
        <f>SUM(I149/G149)*100</f>
        <v>126.94141955973484</v>
      </c>
    </row>
    <row r="150" spans="1:10" ht="15.75">
      <c r="A150" s="14"/>
      <c r="B150" s="14"/>
      <c r="C150" s="151"/>
      <c r="D150" s="151"/>
      <c r="E150" s="151"/>
      <c r="F150" s="151"/>
      <c r="G150" s="151"/>
      <c r="H150" s="151"/>
      <c r="I150" s="151"/>
      <c r="J150" s="151"/>
    </row>
    <row r="151" spans="1:10" ht="15.75">
      <c r="A151" s="14"/>
      <c r="B151" s="14" t="s">
        <v>126</v>
      </c>
      <c r="C151" s="152">
        <f>SUM(C153:C160)</f>
        <v>8756069</v>
      </c>
      <c r="D151" s="152">
        <f>SUM(D153:D160)</f>
        <v>8628569</v>
      </c>
      <c r="E151" s="152">
        <f>SUM(E153:E160)</f>
        <v>5218992.609999999</v>
      </c>
      <c r="F151" s="166">
        <f>SUM(E151/D151)*100</f>
        <v>60.48503071598545</v>
      </c>
      <c r="G151" s="152">
        <f>SUM(G153:G160)</f>
        <v>7977436</v>
      </c>
      <c r="H151" s="152">
        <f>SUM(H153:H160)</f>
        <v>9885488</v>
      </c>
      <c r="I151" s="152">
        <f>SUM(I153:I160)</f>
        <v>8575488</v>
      </c>
      <c r="J151" s="166">
        <f>SUM(I151/G151)*100</f>
        <v>107.49679470947808</v>
      </c>
    </row>
    <row r="152" spans="1:10" ht="15.75">
      <c r="A152" s="14"/>
      <c r="B152" s="75" t="s">
        <v>3</v>
      </c>
      <c r="C152" s="49"/>
      <c r="D152" s="49"/>
      <c r="E152" s="49"/>
      <c r="F152" s="49"/>
      <c r="G152" s="49"/>
      <c r="H152" s="49"/>
      <c r="I152" s="49"/>
      <c r="J152" s="49"/>
    </row>
    <row r="153" spans="1:10" s="79" customFormat="1" ht="30.75">
      <c r="A153" s="68"/>
      <c r="B153" s="47" t="s">
        <v>254</v>
      </c>
      <c r="C153" s="31">
        <f>7000000-300000-100000-4616</f>
        <v>6595384</v>
      </c>
      <c r="D153" s="31">
        <v>6319024</v>
      </c>
      <c r="E153" s="31">
        <v>4117876.95</v>
      </c>
      <c r="F153" s="30">
        <f aca="true" t="shared" si="1" ref="F153:F160">SUM(E153/D153)*100</f>
        <v>65.16634451776098</v>
      </c>
      <c r="G153" s="31">
        <f>6319024-256000-272523</f>
        <v>5790501</v>
      </c>
      <c r="H153" s="31">
        <v>7088018</v>
      </c>
      <c r="I153" s="31">
        <f>7088018-500000-500000</f>
        <v>6088018</v>
      </c>
      <c r="J153" s="30">
        <f aca="true" t="shared" si="2" ref="J153:J160">SUM(I153/G153)*100</f>
        <v>105.13801828201048</v>
      </c>
    </row>
    <row r="154" spans="1:10" ht="30.75">
      <c r="A154" s="14"/>
      <c r="B154" s="47" t="s">
        <v>255</v>
      </c>
      <c r="C154" s="31">
        <f>1917685+17000-200000-200000-30000-20000</f>
        <v>1484685</v>
      </c>
      <c r="D154" s="31">
        <v>1660885</v>
      </c>
      <c r="E154" s="31">
        <v>1066125.93</v>
      </c>
      <c r="F154" s="30">
        <f t="shared" si="1"/>
        <v>64.19023171381522</v>
      </c>
      <c r="G154" s="31">
        <f>1660885-100000</f>
        <v>1560885</v>
      </c>
      <c r="H154" s="31">
        <v>1879470</v>
      </c>
      <c r="I154" s="31">
        <f>1879470-200000-100000+100000</f>
        <v>1679470</v>
      </c>
      <c r="J154" s="30">
        <f t="shared" si="2"/>
        <v>107.59729256159164</v>
      </c>
    </row>
    <row r="155" spans="1:10" ht="30.75">
      <c r="A155" s="14"/>
      <c r="B155" s="89" t="s">
        <v>256</v>
      </c>
      <c r="C155" s="77">
        <f>124000-24000-20000</f>
        <v>80000</v>
      </c>
      <c r="D155" s="77">
        <v>33000</v>
      </c>
      <c r="E155" s="77">
        <v>1428.1</v>
      </c>
      <c r="F155" s="30">
        <f t="shared" si="1"/>
        <v>4.327575757575757</v>
      </c>
      <c r="G155" s="77">
        <v>14000</v>
      </c>
      <c r="H155" s="77">
        <v>107000</v>
      </c>
      <c r="I155" s="77">
        <f>107000-50000-10000</f>
        <v>47000</v>
      </c>
      <c r="J155" s="30">
        <f>SUM(I155/G155)*100</f>
        <v>335.7142857142857</v>
      </c>
    </row>
    <row r="156" spans="1:10" ht="16.5" customHeight="1">
      <c r="A156" s="14"/>
      <c r="B156" s="47" t="s">
        <v>249</v>
      </c>
      <c r="C156" s="31"/>
      <c r="D156" s="31">
        <v>17000</v>
      </c>
      <c r="E156" s="31">
        <v>2207.85</v>
      </c>
      <c r="F156" s="30">
        <f t="shared" si="1"/>
        <v>12.98735294117647</v>
      </c>
      <c r="G156" s="31">
        <v>17000</v>
      </c>
      <c r="H156" s="31">
        <v>120000</v>
      </c>
      <c r="I156" s="31">
        <v>120000</v>
      </c>
      <c r="J156" s="30">
        <f t="shared" si="2"/>
        <v>705.8823529411765</v>
      </c>
    </row>
    <row r="157" spans="1:10" ht="15.75">
      <c r="A157" s="14"/>
      <c r="B157" s="47" t="s">
        <v>257</v>
      </c>
      <c r="C157" s="31">
        <v>6000</v>
      </c>
      <c r="D157" s="31">
        <v>6000</v>
      </c>
      <c r="E157" s="31">
        <v>2670</v>
      </c>
      <c r="F157" s="30">
        <f>SUM(E157/D157)*100</f>
        <v>44.5</v>
      </c>
      <c r="G157" s="31">
        <v>3390</v>
      </c>
      <c r="H157" s="31">
        <v>6000</v>
      </c>
      <c r="I157" s="31">
        <v>6000</v>
      </c>
      <c r="J157" s="30">
        <f>SUM(I157/G157)*100</f>
        <v>176.99115044247787</v>
      </c>
    </row>
    <row r="158" spans="1:10" ht="30.75">
      <c r="A158" s="14"/>
      <c r="B158" s="47" t="s">
        <v>258</v>
      </c>
      <c r="C158" s="31">
        <v>540000</v>
      </c>
      <c r="D158" s="31">
        <v>540000</v>
      </c>
      <c r="E158" s="31">
        <v>28683.78</v>
      </c>
      <c r="F158" s="30">
        <f t="shared" si="1"/>
        <v>5.311811111111111</v>
      </c>
      <c r="G158" s="31">
        <v>540000</v>
      </c>
      <c r="H158" s="31">
        <v>650000</v>
      </c>
      <c r="I158" s="31">
        <f>650000-50000</f>
        <v>600000</v>
      </c>
      <c r="J158" s="30">
        <f t="shared" si="2"/>
        <v>111.11111111111111</v>
      </c>
    </row>
    <row r="159" spans="1:10" ht="30.75">
      <c r="A159" s="14"/>
      <c r="B159" s="89" t="s">
        <v>259</v>
      </c>
      <c r="C159" s="77">
        <v>25000</v>
      </c>
      <c r="D159" s="77">
        <v>1000</v>
      </c>
      <c r="E159" s="77">
        <v>0</v>
      </c>
      <c r="F159" s="30">
        <f t="shared" si="1"/>
        <v>0</v>
      </c>
      <c r="G159" s="77">
        <v>0</v>
      </c>
      <c r="H159" s="77">
        <v>35000</v>
      </c>
      <c r="I159" s="77">
        <v>35000</v>
      </c>
      <c r="J159" s="30">
        <v>0</v>
      </c>
    </row>
    <row r="160" spans="1:10" ht="30.75">
      <c r="A160" s="14"/>
      <c r="B160" s="89" t="s">
        <v>260</v>
      </c>
      <c r="C160" s="77">
        <f>50000-25000</f>
        <v>25000</v>
      </c>
      <c r="D160" s="77">
        <v>51660</v>
      </c>
      <c r="E160" s="77">
        <v>0</v>
      </c>
      <c r="F160" s="30">
        <f t="shared" si="1"/>
        <v>0</v>
      </c>
      <c r="G160" s="77">
        <v>51660</v>
      </c>
      <c r="H160" s="77">
        <v>0</v>
      </c>
      <c r="I160" s="77">
        <v>0</v>
      </c>
      <c r="J160" s="30">
        <f t="shared" si="2"/>
        <v>0</v>
      </c>
    </row>
    <row r="161" spans="1:10" ht="15.75">
      <c r="A161" s="14"/>
      <c r="B161" s="48"/>
      <c r="C161" s="49"/>
      <c r="D161" s="49"/>
      <c r="E161" s="49"/>
      <c r="F161" s="49"/>
      <c r="G161" s="49"/>
      <c r="H161" s="49"/>
      <c r="I161" s="49"/>
      <c r="J161" s="49"/>
    </row>
    <row r="162" spans="1:10" ht="15.75">
      <c r="A162" s="14"/>
      <c r="B162" s="68" t="s">
        <v>127</v>
      </c>
      <c r="C162" s="27">
        <f>SUM(C164:C166)</f>
        <v>385000</v>
      </c>
      <c r="D162" s="27">
        <f>SUM(D164:D166)</f>
        <v>285000</v>
      </c>
      <c r="E162" s="27">
        <f>SUM(E164:E166)</f>
        <v>158366.6</v>
      </c>
      <c r="F162" s="166">
        <f>SUM(E162/D162)*100</f>
        <v>55.567228070175446</v>
      </c>
      <c r="G162" s="27">
        <f>SUM(G164:G166)</f>
        <v>211765</v>
      </c>
      <c r="H162" s="27">
        <f>SUM(H164:H166)</f>
        <v>1920000</v>
      </c>
      <c r="I162" s="27">
        <f>SUM(I164:I166)</f>
        <v>1820000</v>
      </c>
      <c r="J162" s="166">
        <f>SUM(I162/G162)*100</f>
        <v>859.4432507732629</v>
      </c>
    </row>
    <row r="163" spans="1:10" ht="15.75">
      <c r="A163" s="14"/>
      <c r="B163" s="64" t="s">
        <v>3</v>
      </c>
      <c r="C163" s="92"/>
      <c r="D163" s="92"/>
      <c r="E163" s="92"/>
      <c r="F163" s="92"/>
      <c r="G163" s="92"/>
      <c r="H163" s="92"/>
      <c r="I163" s="92"/>
      <c r="J163" s="92"/>
    </row>
    <row r="164" spans="1:10" ht="15.75">
      <c r="A164" s="14"/>
      <c r="B164" s="91" t="s">
        <v>248</v>
      </c>
      <c r="C164" s="93">
        <v>245000</v>
      </c>
      <c r="D164" s="93">
        <v>145000</v>
      </c>
      <c r="E164" s="93">
        <v>59474.6</v>
      </c>
      <c r="F164" s="30">
        <f>SUM(E164/D164)*100</f>
        <v>41.016965517241374</v>
      </c>
      <c r="G164" s="93">
        <f>145000-40000</f>
        <v>105000</v>
      </c>
      <c r="H164" s="93">
        <v>200000</v>
      </c>
      <c r="I164" s="93">
        <f>200000-50000-20000</f>
        <v>130000</v>
      </c>
      <c r="J164" s="30">
        <f>SUM(I164/G164)*100</f>
        <v>123.80952380952381</v>
      </c>
    </row>
    <row r="165" spans="1:10" ht="30.75">
      <c r="A165" s="14"/>
      <c r="B165" s="91" t="s">
        <v>261</v>
      </c>
      <c r="C165" s="93">
        <v>120000</v>
      </c>
      <c r="D165" s="93">
        <v>120000</v>
      </c>
      <c r="E165" s="93">
        <v>92127</v>
      </c>
      <c r="F165" s="30">
        <f>SUM(E165/D165)*100</f>
        <v>76.7725</v>
      </c>
      <c r="G165" s="93">
        <v>100000</v>
      </c>
      <c r="H165" s="93">
        <v>70000</v>
      </c>
      <c r="I165" s="93">
        <f>70000-30000</f>
        <v>40000</v>
      </c>
      <c r="J165" s="30">
        <f>SUM(I165/G165)*100</f>
        <v>40</v>
      </c>
    </row>
    <row r="166" spans="1:10" ht="30.75">
      <c r="A166" s="14"/>
      <c r="B166" s="158" t="s">
        <v>158</v>
      </c>
      <c r="C166" s="159">
        <f>950000-930000</f>
        <v>20000</v>
      </c>
      <c r="D166" s="159">
        <f>950000-930000</f>
        <v>20000</v>
      </c>
      <c r="E166" s="159">
        <v>6765</v>
      </c>
      <c r="F166" s="30">
        <f>SUM(E166/D166)*100</f>
        <v>33.825</v>
      </c>
      <c r="G166" s="159">
        <v>6765</v>
      </c>
      <c r="H166" s="159">
        <v>1650000</v>
      </c>
      <c r="I166" s="159">
        <v>1650000</v>
      </c>
      <c r="J166" s="30">
        <f>SUM(I166/G166)*100</f>
        <v>24390.243902439026</v>
      </c>
    </row>
    <row r="167" spans="1:10" ht="15.75">
      <c r="A167" s="14"/>
      <c r="B167" s="94"/>
      <c r="C167" s="36"/>
      <c r="D167" s="36"/>
      <c r="E167" s="36"/>
      <c r="F167" s="167"/>
      <c r="G167" s="36"/>
      <c r="H167" s="36"/>
      <c r="I167" s="36"/>
      <c r="J167" s="167"/>
    </row>
    <row r="168" spans="1:10" ht="15.75">
      <c r="A168" s="42">
        <v>75056</v>
      </c>
      <c r="B168" s="95" t="s">
        <v>187</v>
      </c>
      <c r="C168" s="153">
        <f>SUM(C170)</f>
        <v>0</v>
      </c>
      <c r="D168" s="153">
        <f>SUM(D170)</f>
        <v>68920</v>
      </c>
      <c r="E168" s="153">
        <f>SUM(E170)</f>
        <v>65764.74</v>
      </c>
      <c r="F168" s="44">
        <f>SUM(E168/D168)*100</f>
        <v>95.42185142193848</v>
      </c>
      <c r="G168" s="153">
        <f>SUM(G170)</f>
        <v>65764.74</v>
      </c>
      <c r="H168" s="153">
        <f>SUM(H170)</f>
        <v>0</v>
      </c>
      <c r="I168" s="153">
        <f>SUM(I170)</f>
        <v>0</v>
      </c>
      <c r="J168" s="44">
        <f>SUM(I168/G168)*100</f>
        <v>0</v>
      </c>
    </row>
    <row r="169" spans="1:10" ht="15.75">
      <c r="A169" s="14"/>
      <c r="B169" s="94"/>
      <c r="C169" s="36"/>
      <c r="D169" s="36"/>
      <c r="E169" s="36"/>
      <c r="F169" s="167"/>
      <c r="G169" s="36"/>
      <c r="H169" s="36"/>
      <c r="I169" s="36"/>
      <c r="J169" s="167"/>
    </row>
    <row r="170" spans="1:10" ht="15.75">
      <c r="A170" s="14"/>
      <c r="B170" s="94" t="s">
        <v>188</v>
      </c>
      <c r="C170" s="36">
        <v>0</v>
      </c>
      <c r="D170" s="36">
        <v>68920</v>
      </c>
      <c r="E170" s="36">
        <v>65764.74</v>
      </c>
      <c r="F170" s="167">
        <f>SUM(E170/D170)*100</f>
        <v>95.42185142193848</v>
      </c>
      <c r="G170" s="36">
        <v>65764.74</v>
      </c>
      <c r="H170" s="36">
        <v>0</v>
      </c>
      <c r="I170" s="36">
        <v>0</v>
      </c>
      <c r="J170" s="167">
        <f>SUM(I170/G170)*100</f>
        <v>0</v>
      </c>
    </row>
    <row r="171" spans="1:10" ht="15.75">
      <c r="A171" s="14"/>
      <c r="B171" s="94" t="s">
        <v>102</v>
      </c>
      <c r="C171" s="36"/>
      <c r="D171" s="36"/>
      <c r="E171" s="36"/>
      <c r="F171" s="167"/>
      <c r="G171" s="36"/>
      <c r="H171" s="36"/>
      <c r="I171" s="36"/>
      <c r="J171" s="167"/>
    </row>
    <row r="172" spans="1:10" ht="15.75">
      <c r="A172" s="14"/>
      <c r="B172" s="91" t="s">
        <v>89</v>
      </c>
      <c r="C172" s="93">
        <v>0</v>
      </c>
      <c r="D172" s="93">
        <v>20784.11</v>
      </c>
      <c r="E172" s="93">
        <v>19483.22</v>
      </c>
      <c r="F172" s="30">
        <f>SUM(E172/D172)*100</f>
        <v>93.74093959279469</v>
      </c>
      <c r="G172" s="93">
        <v>19483.22</v>
      </c>
      <c r="H172" s="93">
        <v>0</v>
      </c>
      <c r="I172" s="93">
        <v>0</v>
      </c>
      <c r="J172" s="30">
        <f>SUM(I172/G172)*100</f>
        <v>0</v>
      </c>
    </row>
    <row r="173" spans="1:10" ht="15.75">
      <c r="A173" s="14"/>
      <c r="B173" s="94"/>
      <c r="C173" s="36"/>
      <c r="D173" s="36"/>
      <c r="E173" s="36"/>
      <c r="F173" s="36"/>
      <c r="G173" s="36"/>
      <c r="H173" s="36"/>
      <c r="I173" s="36"/>
      <c r="J173" s="36"/>
    </row>
    <row r="174" spans="1:10" ht="31.5">
      <c r="A174" s="42">
        <v>75075</v>
      </c>
      <c r="B174" s="95" t="s">
        <v>95</v>
      </c>
      <c r="C174" s="25">
        <f>SUM(C176,C179)</f>
        <v>378500</v>
      </c>
      <c r="D174" s="25">
        <f>SUM(D176,D179)</f>
        <v>295500</v>
      </c>
      <c r="E174" s="25">
        <f>SUM(E176,E179)</f>
        <v>122861.33</v>
      </c>
      <c r="F174" s="44">
        <f>SUM(E174/D174)*100</f>
        <v>41.57743824027072</v>
      </c>
      <c r="G174" s="25">
        <f>SUM(G176,G179)</f>
        <v>242185.3</v>
      </c>
      <c r="H174" s="25">
        <f>SUM(H176,H179)</f>
        <v>371300</v>
      </c>
      <c r="I174" s="25">
        <f>SUM(I176,I179)</f>
        <v>271300</v>
      </c>
      <c r="J174" s="44">
        <f>SUM(I174/G174)*100</f>
        <v>112.02166275162035</v>
      </c>
    </row>
    <row r="175" spans="1:10" ht="15.75">
      <c r="A175" s="84"/>
      <c r="B175" s="64"/>
      <c r="C175" s="27"/>
      <c r="D175" s="27"/>
      <c r="E175" s="27"/>
      <c r="F175" s="27"/>
      <c r="G175" s="27"/>
      <c r="H175" s="27"/>
      <c r="I175" s="27"/>
      <c r="J175" s="27"/>
    </row>
    <row r="176" spans="1:10" ht="15.75">
      <c r="A176" s="14"/>
      <c r="B176" s="48" t="s">
        <v>272</v>
      </c>
      <c r="C176" s="49">
        <f>704300-169300-200000</f>
        <v>335000</v>
      </c>
      <c r="D176" s="49">
        <v>252000</v>
      </c>
      <c r="E176" s="49">
        <v>97203.53</v>
      </c>
      <c r="F176" s="167">
        <f>SUM(E176/D176)*100</f>
        <v>38.572829365079365</v>
      </c>
      <c r="G176" s="49">
        <f>252000-53000</f>
        <v>199000</v>
      </c>
      <c r="H176" s="49">
        <v>351300</v>
      </c>
      <c r="I176" s="49">
        <f>351300-100000</f>
        <v>251300</v>
      </c>
      <c r="J176" s="167">
        <f>SUM(I176/G176)*100</f>
        <v>126.28140703517587</v>
      </c>
    </row>
    <row r="177" spans="1:10" ht="15.75">
      <c r="A177" s="14"/>
      <c r="B177" s="46" t="s">
        <v>104</v>
      </c>
      <c r="C177" s="86"/>
      <c r="D177" s="86"/>
      <c r="E177" s="86"/>
      <c r="F177" s="86"/>
      <c r="G177" s="86"/>
      <c r="H177" s="86"/>
      <c r="I177" s="86"/>
      <c r="J177" s="86"/>
    </row>
    <row r="178" spans="1:10" ht="15.75">
      <c r="A178" s="14"/>
      <c r="B178" s="28" t="s">
        <v>78</v>
      </c>
      <c r="C178" s="31">
        <v>13300</v>
      </c>
      <c r="D178" s="31">
        <v>13300</v>
      </c>
      <c r="E178" s="31">
        <v>4338</v>
      </c>
      <c r="F178" s="30">
        <f>SUM(E178/D178)*100</f>
        <v>32.61654135338346</v>
      </c>
      <c r="G178" s="31">
        <v>13300</v>
      </c>
      <c r="H178" s="31">
        <v>21300</v>
      </c>
      <c r="I178" s="31">
        <v>21300</v>
      </c>
      <c r="J178" s="30">
        <f>SUM(I178/G178)*100</f>
        <v>160.15037593984962</v>
      </c>
    </row>
    <row r="179" spans="1:10" ht="30.75">
      <c r="A179" s="43"/>
      <c r="B179" s="47" t="s">
        <v>273</v>
      </c>
      <c r="C179" s="31">
        <f>65000-30000+8500</f>
        <v>43500</v>
      </c>
      <c r="D179" s="31">
        <f>65000-30000+8500</f>
        <v>43500</v>
      </c>
      <c r="E179" s="31">
        <v>25657.8</v>
      </c>
      <c r="F179" s="30">
        <f>SUM(E179/D179)*100</f>
        <v>58.983448275862074</v>
      </c>
      <c r="G179" s="31">
        <v>43185.3</v>
      </c>
      <c r="H179" s="31">
        <v>20000</v>
      </c>
      <c r="I179" s="31">
        <v>20000</v>
      </c>
      <c r="J179" s="30">
        <f>SUM(I179/G179)*100</f>
        <v>46.31205525954433</v>
      </c>
    </row>
    <row r="180" spans="1:10" ht="16.5" thickBot="1">
      <c r="A180" s="32"/>
      <c r="B180" s="101"/>
      <c r="C180" s="81"/>
      <c r="D180" s="81"/>
      <c r="E180" s="81"/>
      <c r="F180" s="81"/>
      <c r="G180" s="81"/>
      <c r="H180" s="81"/>
      <c r="I180" s="81"/>
      <c r="J180" s="81"/>
    </row>
    <row r="181" spans="1:10" ht="15.75">
      <c r="A181" s="2"/>
      <c r="B181" s="3"/>
      <c r="C181" s="4"/>
      <c r="D181" s="4"/>
      <c r="E181" s="4"/>
      <c r="F181" s="4"/>
      <c r="G181" s="4"/>
      <c r="H181" s="4"/>
      <c r="I181" s="4"/>
      <c r="J181" s="4"/>
    </row>
    <row r="182" spans="1:10" ht="15.75">
      <c r="A182" s="5" t="s">
        <v>22</v>
      </c>
      <c r="B182" s="6" t="s">
        <v>1</v>
      </c>
      <c r="C182" s="7" t="s">
        <v>120</v>
      </c>
      <c r="D182" s="7" t="s">
        <v>120</v>
      </c>
      <c r="E182" s="7" t="s">
        <v>146</v>
      </c>
      <c r="F182" s="7" t="s">
        <v>21</v>
      </c>
      <c r="G182" s="7" t="s">
        <v>211</v>
      </c>
      <c r="H182" s="7" t="s">
        <v>216</v>
      </c>
      <c r="I182" s="7" t="s">
        <v>213</v>
      </c>
      <c r="J182" s="7" t="s">
        <v>21</v>
      </c>
    </row>
    <row r="183" spans="1:10" ht="15.75">
      <c r="A183" s="5" t="s">
        <v>24</v>
      </c>
      <c r="B183" s="8"/>
      <c r="C183" s="7" t="s">
        <v>181</v>
      </c>
      <c r="D183" s="7" t="s">
        <v>210</v>
      </c>
      <c r="E183" s="7" t="s">
        <v>210</v>
      </c>
      <c r="F183" s="7" t="s">
        <v>10</v>
      </c>
      <c r="G183" s="7" t="s">
        <v>212</v>
      </c>
      <c r="H183" s="7" t="s">
        <v>217</v>
      </c>
      <c r="I183" s="7" t="s">
        <v>214</v>
      </c>
      <c r="J183" s="7" t="s">
        <v>10</v>
      </c>
    </row>
    <row r="184" spans="1:10" ht="16.5" thickBot="1">
      <c r="A184" s="9"/>
      <c r="B184" s="10"/>
      <c r="C184" s="11" t="s">
        <v>140</v>
      </c>
      <c r="D184" s="11" t="s">
        <v>140</v>
      </c>
      <c r="E184" s="11" t="s">
        <v>140</v>
      </c>
      <c r="F184" s="11"/>
      <c r="G184" s="11" t="s">
        <v>215</v>
      </c>
      <c r="H184" s="11" t="s">
        <v>140</v>
      </c>
      <c r="I184" s="11" t="s">
        <v>140</v>
      </c>
      <c r="J184" s="11"/>
    </row>
    <row r="185" spans="1:10" ht="12.75" customHeight="1">
      <c r="A185" s="14"/>
      <c r="B185" s="14"/>
      <c r="C185" s="41"/>
      <c r="D185" s="41"/>
      <c r="E185" s="41"/>
      <c r="F185" s="41"/>
      <c r="G185" s="41"/>
      <c r="H185" s="41"/>
      <c r="I185" s="41"/>
      <c r="J185" s="41"/>
    </row>
    <row r="186" spans="1:10" ht="15.75">
      <c r="A186" s="42">
        <v>75095</v>
      </c>
      <c r="B186" s="43" t="s">
        <v>26</v>
      </c>
      <c r="C186" s="25">
        <f>SUM(C188:C191)</f>
        <v>75852</v>
      </c>
      <c r="D186" s="25">
        <f>SUM(D188:D192)</f>
        <v>76852</v>
      </c>
      <c r="E186" s="25">
        <f>SUM(E188:E192)</f>
        <v>9379.5</v>
      </c>
      <c r="F186" s="44">
        <f>SUM(E186/D186)*100</f>
        <v>12.204627075417687</v>
      </c>
      <c r="G186" s="25">
        <f>SUM(G188:G192)</f>
        <v>10108.5</v>
      </c>
      <c r="H186" s="25">
        <f>SUM(H188:H192)</f>
        <v>114052</v>
      </c>
      <c r="I186" s="25">
        <f>SUM(I188:I192)</f>
        <v>114052</v>
      </c>
      <c r="J186" s="44">
        <f>SUM(I186/G186)*100</f>
        <v>1128.2781817282485</v>
      </c>
    </row>
    <row r="187" spans="1:10" ht="12.75" customHeight="1">
      <c r="A187" s="14"/>
      <c r="B187" s="35"/>
      <c r="C187" s="45"/>
      <c r="D187" s="45"/>
      <c r="E187" s="45"/>
      <c r="F187" s="45"/>
      <c r="G187" s="45"/>
      <c r="H187" s="45"/>
      <c r="I187" s="45"/>
      <c r="J187" s="45"/>
    </row>
    <row r="188" spans="1:10" ht="30">
      <c r="A188" s="14"/>
      <c r="B188" s="70" t="s">
        <v>269</v>
      </c>
      <c r="C188" s="31">
        <v>1000</v>
      </c>
      <c r="D188" s="31">
        <v>1120</v>
      </c>
      <c r="E188" s="31">
        <v>0</v>
      </c>
      <c r="F188" s="30">
        <f>SUM(E188/D188)*100</f>
        <v>0</v>
      </c>
      <c r="G188" s="31">
        <v>729</v>
      </c>
      <c r="H188" s="31">
        <v>1000</v>
      </c>
      <c r="I188" s="31">
        <v>1000</v>
      </c>
      <c r="J188" s="30">
        <f>SUM(I188/G188)*100</f>
        <v>137.17421124828533</v>
      </c>
    </row>
    <row r="189" spans="1:10" ht="30.75">
      <c r="A189" s="14"/>
      <c r="B189" s="47" t="s">
        <v>270</v>
      </c>
      <c r="C189" s="31">
        <f>9500-1000</f>
        <v>8500</v>
      </c>
      <c r="D189" s="31">
        <v>9380</v>
      </c>
      <c r="E189" s="31">
        <v>9379.5</v>
      </c>
      <c r="F189" s="30">
        <f>SUM(E189/D189)*100</f>
        <v>99.99466950959489</v>
      </c>
      <c r="G189" s="31">
        <v>9379.5</v>
      </c>
      <c r="H189" s="31">
        <v>9500</v>
      </c>
      <c r="I189" s="31">
        <v>9500</v>
      </c>
      <c r="J189" s="30">
        <f>SUM(I189/G189)*100</f>
        <v>101.28471666933206</v>
      </c>
    </row>
    <row r="190" spans="1:10" ht="30.75">
      <c r="A190" s="14"/>
      <c r="B190" s="47" t="s">
        <v>271</v>
      </c>
      <c r="C190" s="31">
        <f>110000-40000-10000-10000</f>
        <v>50000</v>
      </c>
      <c r="D190" s="31">
        <f>110000-40000-10000-10000</f>
        <v>50000</v>
      </c>
      <c r="E190" s="31">
        <v>0</v>
      </c>
      <c r="F190" s="30">
        <f>SUM(E190/D190)*100</f>
        <v>0</v>
      </c>
      <c r="G190" s="31">
        <v>0</v>
      </c>
      <c r="H190" s="31">
        <v>50000</v>
      </c>
      <c r="I190" s="31">
        <v>50000</v>
      </c>
      <c r="J190" s="30">
        <v>0</v>
      </c>
    </row>
    <row r="191" spans="1:10" ht="123" customHeight="1">
      <c r="A191" s="14"/>
      <c r="B191" s="89" t="s">
        <v>307</v>
      </c>
      <c r="C191" s="77">
        <f>13352+3000</f>
        <v>16352</v>
      </c>
      <c r="D191" s="77">
        <f>13352+3000</f>
        <v>16352</v>
      </c>
      <c r="E191" s="77">
        <v>0</v>
      </c>
      <c r="F191" s="30">
        <f>SUM(E191/D191)*100</f>
        <v>0</v>
      </c>
      <c r="G191" s="77">
        <v>0</v>
      </c>
      <c r="H191" s="77">
        <v>16352</v>
      </c>
      <c r="I191" s="77">
        <v>16352</v>
      </c>
      <c r="J191" s="30">
        <v>0</v>
      </c>
    </row>
    <row r="192" spans="1:10" ht="15.75">
      <c r="A192" s="43"/>
      <c r="B192" s="47" t="s">
        <v>387</v>
      </c>
      <c r="C192" s="77"/>
      <c r="D192" s="77">
        <v>0</v>
      </c>
      <c r="E192" s="77">
        <v>0</v>
      </c>
      <c r="F192" s="168">
        <v>0</v>
      </c>
      <c r="G192" s="77">
        <v>0</v>
      </c>
      <c r="H192" s="77">
        <v>37200</v>
      </c>
      <c r="I192" s="77">
        <v>37200</v>
      </c>
      <c r="J192" s="168">
        <v>0</v>
      </c>
    </row>
    <row r="193" spans="1:10" ht="12.75" customHeight="1">
      <c r="A193" s="96"/>
      <c r="B193" s="97"/>
      <c r="C193" s="98"/>
      <c r="D193" s="98"/>
      <c r="E193" s="98"/>
      <c r="F193" s="98"/>
      <c r="G193" s="98"/>
      <c r="H193" s="98"/>
      <c r="I193" s="98"/>
      <c r="J193" s="98"/>
    </row>
    <row r="194" spans="1:10" ht="12.75" customHeight="1">
      <c r="A194" s="35"/>
      <c r="B194" s="35"/>
      <c r="C194" s="45"/>
      <c r="D194" s="45"/>
      <c r="E194" s="45"/>
      <c r="F194" s="45"/>
      <c r="G194" s="45"/>
      <c r="H194" s="45"/>
      <c r="I194" s="45"/>
      <c r="J194" s="45"/>
    </row>
    <row r="195" spans="1:10" ht="48" thickBot="1">
      <c r="A195" s="38">
        <v>751</v>
      </c>
      <c r="B195" s="99" t="s">
        <v>262</v>
      </c>
      <c r="C195" s="40">
        <f>SUM(C197)</f>
        <v>6313</v>
      </c>
      <c r="D195" s="40">
        <f>SUM(D197,D201)</f>
        <v>31755</v>
      </c>
      <c r="E195" s="40">
        <f>SUM(E197,E201)</f>
        <v>5313.08</v>
      </c>
      <c r="F195" s="19">
        <f>SUM(E195/D195)*100</f>
        <v>16.731475358211306</v>
      </c>
      <c r="G195" s="40">
        <f>SUM(G197,G201)</f>
        <v>31755</v>
      </c>
      <c r="H195" s="40">
        <f>SUM(H197,H201)</f>
        <v>6452</v>
      </c>
      <c r="I195" s="40">
        <f>SUM(I197,I201)</f>
        <v>6452</v>
      </c>
      <c r="J195" s="19">
        <f>SUM(I195/G195)*100</f>
        <v>20.318060148008186</v>
      </c>
    </row>
    <row r="196" spans="1:10" ht="12.75" customHeight="1" thickTop="1">
      <c r="A196" s="14"/>
      <c r="B196" s="14"/>
      <c r="C196" s="27"/>
      <c r="D196" s="27"/>
      <c r="E196" s="27"/>
      <c r="F196" s="27"/>
      <c r="G196" s="27"/>
      <c r="H196" s="27"/>
      <c r="I196" s="27"/>
      <c r="J196" s="27"/>
    </row>
    <row r="197" spans="1:10" ht="31.5">
      <c r="A197" s="42">
        <v>75101</v>
      </c>
      <c r="B197" s="78" t="s">
        <v>171</v>
      </c>
      <c r="C197" s="25">
        <f>SUM(C199)</f>
        <v>6313</v>
      </c>
      <c r="D197" s="25">
        <f>SUM(D199)</f>
        <v>6313</v>
      </c>
      <c r="E197" s="25">
        <f>SUM(E199)</f>
        <v>4734</v>
      </c>
      <c r="F197" s="44">
        <f>SUM(E197/D197)*100</f>
        <v>74.98811975289085</v>
      </c>
      <c r="G197" s="25">
        <f>SUM(G199)</f>
        <v>6313</v>
      </c>
      <c r="H197" s="25">
        <f>SUM(H199)</f>
        <v>6452</v>
      </c>
      <c r="I197" s="25">
        <f>SUM(I199)</f>
        <v>6452</v>
      </c>
      <c r="J197" s="44">
        <f>SUM(I197/G197)*100</f>
        <v>102.2018057975606</v>
      </c>
    </row>
    <row r="198" spans="1:10" ht="12.75" customHeight="1">
      <c r="A198" s="14"/>
      <c r="B198" s="14"/>
      <c r="C198" s="45"/>
      <c r="D198" s="45"/>
      <c r="E198" s="45"/>
      <c r="F198" s="45"/>
      <c r="G198" s="45"/>
      <c r="H198" s="45"/>
      <c r="I198" s="45"/>
      <c r="J198" s="45"/>
    </row>
    <row r="199" spans="1:10" ht="45">
      <c r="A199" s="28"/>
      <c r="B199" s="47" t="s">
        <v>265</v>
      </c>
      <c r="C199" s="31">
        <v>6313</v>
      </c>
      <c r="D199" s="31">
        <v>6313</v>
      </c>
      <c r="E199" s="31">
        <v>4734</v>
      </c>
      <c r="F199" s="30">
        <f>SUM(E199/D199)*100</f>
        <v>74.98811975289085</v>
      </c>
      <c r="G199" s="31">
        <v>6313</v>
      </c>
      <c r="H199" s="31">
        <v>6452</v>
      </c>
      <c r="I199" s="31">
        <v>6452</v>
      </c>
      <c r="J199" s="30">
        <f>SUM(I199/G199)*100</f>
        <v>102.2018057975606</v>
      </c>
    </row>
    <row r="200" spans="1:10" ht="15">
      <c r="A200" s="88"/>
      <c r="B200" s="90"/>
      <c r="C200" s="31"/>
      <c r="D200" s="49"/>
      <c r="E200" s="49"/>
      <c r="F200" s="167"/>
      <c r="G200" s="49"/>
      <c r="H200" s="49"/>
      <c r="I200" s="49"/>
      <c r="J200" s="167"/>
    </row>
    <row r="201" spans="1:10" ht="15.75">
      <c r="A201" s="42">
        <v>75108</v>
      </c>
      <c r="B201" s="78" t="s">
        <v>263</v>
      </c>
      <c r="C201" s="25">
        <f>SUM(C203)</f>
        <v>6313</v>
      </c>
      <c r="D201" s="25">
        <f>SUM(D203)</f>
        <v>25442</v>
      </c>
      <c r="E201" s="25">
        <f>SUM(E203)</f>
        <v>579.08</v>
      </c>
      <c r="F201" s="44">
        <f>SUM(E201/D201)*100</f>
        <v>2.276078924612845</v>
      </c>
      <c r="G201" s="25">
        <f>SUM(G203)</f>
        <v>25442</v>
      </c>
      <c r="H201" s="25">
        <f>SUM(H203)</f>
        <v>0</v>
      </c>
      <c r="I201" s="25">
        <f>SUM(I203)</f>
        <v>0</v>
      </c>
      <c r="J201" s="44">
        <f>SUM(I201/G201)*100</f>
        <v>0</v>
      </c>
    </row>
    <row r="202" spans="1:10" ht="15.75">
      <c r="A202" s="14"/>
      <c r="B202" s="14"/>
      <c r="C202" s="45"/>
      <c r="D202" s="45"/>
      <c r="E202" s="45"/>
      <c r="F202" s="45"/>
      <c r="G202" s="45"/>
      <c r="H202" s="45"/>
      <c r="I202" s="45"/>
      <c r="J202" s="45"/>
    </row>
    <row r="203" spans="1:10" ht="15">
      <c r="A203" s="28"/>
      <c r="B203" s="47" t="s">
        <v>266</v>
      </c>
      <c r="C203" s="31">
        <v>6313</v>
      </c>
      <c r="D203" s="31">
        <v>25442</v>
      </c>
      <c r="E203" s="31">
        <v>579.08</v>
      </c>
      <c r="F203" s="30">
        <f>SUM(E203/D203)*100</f>
        <v>2.276078924612845</v>
      </c>
      <c r="G203" s="31">
        <v>25442</v>
      </c>
      <c r="H203" s="31">
        <v>0</v>
      </c>
      <c r="I203" s="31">
        <v>0</v>
      </c>
      <c r="J203" s="30">
        <f>SUM(I203/G203)*100</f>
        <v>0</v>
      </c>
    </row>
    <row r="204" spans="1:10" ht="15">
      <c r="A204" s="100"/>
      <c r="B204" s="101"/>
      <c r="C204" s="81"/>
      <c r="D204" s="81"/>
      <c r="E204" s="81"/>
      <c r="F204" s="81"/>
      <c r="G204" s="81"/>
      <c r="H204" s="81"/>
      <c r="I204" s="81"/>
      <c r="J204" s="81"/>
    </row>
    <row r="205" spans="1:10" ht="15.75">
      <c r="A205" s="35"/>
      <c r="B205" s="61"/>
      <c r="C205" s="45"/>
      <c r="D205" s="45"/>
      <c r="E205" s="45"/>
      <c r="F205" s="45"/>
      <c r="G205" s="45"/>
      <c r="H205" s="45"/>
      <c r="I205" s="45"/>
      <c r="J205" s="45"/>
    </row>
    <row r="206" spans="1:10" ht="16.5" thickBot="1">
      <c r="A206" s="38">
        <v>752</v>
      </c>
      <c r="B206" s="99" t="s">
        <v>117</v>
      </c>
      <c r="C206" s="40">
        <f>SUM(C208)</f>
        <v>3500</v>
      </c>
      <c r="D206" s="40">
        <f>SUM(D208)</f>
        <v>3500</v>
      </c>
      <c r="E206" s="40">
        <f>SUM(E208)</f>
        <v>2054.95</v>
      </c>
      <c r="F206" s="19">
        <f>SUM(E206/D206)*100</f>
        <v>58.71285714285713</v>
      </c>
      <c r="G206" s="40">
        <f>SUM(G208)</f>
        <v>3500</v>
      </c>
      <c r="H206" s="40">
        <f>SUM(H208)</f>
        <v>6000</v>
      </c>
      <c r="I206" s="40">
        <f>SUM(I208)</f>
        <v>4000</v>
      </c>
      <c r="J206" s="19">
        <f>SUM(I206/G206)*100</f>
        <v>114.28571428571428</v>
      </c>
    </row>
    <row r="207" spans="1:10" ht="16.5" thickTop="1">
      <c r="A207" s="14"/>
      <c r="B207" s="14"/>
      <c r="C207" s="27"/>
      <c r="D207" s="27"/>
      <c r="E207" s="27"/>
      <c r="F207" s="27"/>
      <c r="G207" s="27"/>
      <c r="H207" s="27"/>
      <c r="I207" s="27"/>
      <c r="J207" s="27"/>
    </row>
    <row r="208" spans="1:10" ht="15.75">
      <c r="A208" s="42">
        <v>75212</v>
      </c>
      <c r="B208" s="78" t="s">
        <v>118</v>
      </c>
      <c r="C208" s="25">
        <f>SUM(C210:C211)</f>
        <v>3500</v>
      </c>
      <c r="D208" s="25">
        <f>SUM(D210:D211)</f>
        <v>3500</v>
      </c>
      <c r="E208" s="25">
        <f>SUM(E210:E211)</f>
        <v>2054.95</v>
      </c>
      <c r="F208" s="44">
        <f>SUM(E208/D208)*100</f>
        <v>58.71285714285713</v>
      </c>
      <c r="G208" s="25">
        <f>SUM(G210:G211)</f>
        <v>3500</v>
      </c>
      <c r="H208" s="25">
        <f>SUM(H210:H211)</f>
        <v>6000</v>
      </c>
      <c r="I208" s="25">
        <f>SUM(I210:I211)</f>
        <v>4000</v>
      </c>
      <c r="J208" s="44">
        <f>SUM(I208/G208)*100</f>
        <v>114.28571428571428</v>
      </c>
    </row>
    <row r="209" spans="1:10" ht="15.75">
      <c r="A209" s="14"/>
      <c r="B209" s="14"/>
      <c r="C209" s="45"/>
      <c r="D209" s="45"/>
      <c r="E209" s="45"/>
      <c r="F209" s="45"/>
      <c r="G209" s="45"/>
      <c r="H209" s="45"/>
      <c r="I209" s="45"/>
      <c r="J209" s="45"/>
    </row>
    <row r="210" spans="1:10" ht="15">
      <c r="A210" s="46"/>
      <c r="B210" s="47" t="s">
        <v>267</v>
      </c>
      <c r="C210" s="31">
        <v>2500</v>
      </c>
      <c r="D210" s="31">
        <v>2500</v>
      </c>
      <c r="E210" s="31">
        <v>1949.96</v>
      </c>
      <c r="F210" s="30">
        <f>SUM(E210/D210)*100</f>
        <v>77.9984</v>
      </c>
      <c r="G210" s="31">
        <v>2500</v>
      </c>
      <c r="H210" s="31">
        <v>3000</v>
      </c>
      <c r="I210" s="31">
        <v>3000</v>
      </c>
      <c r="J210" s="30">
        <f>SUM(I210/G210)*100</f>
        <v>120</v>
      </c>
    </row>
    <row r="211" spans="1:10" ht="15">
      <c r="A211" s="28"/>
      <c r="B211" s="47" t="s">
        <v>268</v>
      </c>
      <c r="C211" s="31">
        <f>2000-1000</f>
        <v>1000</v>
      </c>
      <c r="D211" s="31">
        <f>2000-1000</f>
        <v>1000</v>
      </c>
      <c r="E211" s="31">
        <v>104.99</v>
      </c>
      <c r="F211" s="30">
        <f>SUM(E211/D211)*100</f>
        <v>10.499</v>
      </c>
      <c r="G211" s="31">
        <v>1000</v>
      </c>
      <c r="H211" s="31">
        <v>3000</v>
      </c>
      <c r="I211" s="31">
        <f>3000-2000</f>
        <v>1000</v>
      </c>
      <c r="J211" s="30">
        <f>SUM(I211/G211)*100</f>
        <v>100</v>
      </c>
    </row>
    <row r="212" spans="1:10" ht="15.75">
      <c r="A212" s="58"/>
      <c r="B212" s="102"/>
      <c r="C212" s="103"/>
      <c r="D212" s="103"/>
      <c r="E212" s="103"/>
      <c r="F212" s="103"/>
      <c r="G212" s="103"/>
      <c r="H212" s="103"/>
      <c r="I212" s="103"/>
      <c r="J212" s="103"/>
    </row>
    <row r="213" spans="1:10" ht="12.75" customHeight="1">
      <c r="A213" s="14"/>
      <c r="B213" s="51"/>
      <c r="C213" s="41"/>
      <c r="D213" s="41"/>
      <c r="E213" s="41"/>
      <c r="F213" s="41"/>
      <c r="G213" s="41"/>
      <c r="H213" s="41"/>
      <c r="I213" s="41"/>
      <c r="J213" s="41"/>
    </row>
    <row r="214" spans="1:10" ht="32.25" thickBot="1">
      <c r="A214" s="38">
        <v>754</v>
      </c>
      <c r="B214" s="99" t="s">
        <v>87</v>
      </c>
      <c r="C214" s="40">
        <f>SUM(C216,C220)</f>
        <v>956900</v>
      </c>
      <c r="D214" s="40">
        <f>SUM(D216,D220,D228)</f>
        <v>956900</v>
      </c>
      <c r="E214" s="40">
        <f>SUM(E216,E220,E228)</f>
        <v>594532.35</v>
      </c>
      <c r="F214" s="19">
        <f>SUM(E214/D214)*100</f>
        <v>62.131084752847734</v>
      </c>
      <c r="G214" s="40">
        <f>SUM(G216,G220,G228)</f>
        <v>921900</v>
      </c>
      <c r="H214" s="40">
        <f>SUM(H216,H220,H228)</f>
        <v>1007700</v>
      </c>
      <c r="I214" s="40">
        <f>SUM(I216,I220,I228)</f>
        <v>835700</v>
      </c>
      <c r="J214" s="19">
        <f>SUM(I214/G214)*100</f>
        <v>90.64974509165853</v>
      </c>
    </row>
    <row r="215" spans="1:10" ht="12.75" customHeight="1" thickTop="1">
      <c r="A215" s="14"/>
      <c r="B215" s="14"/>
      <c r="C215" s="104" t="s">
        <v>11</v>
      </c>
      <c r="D215" s="104" t="s">
        <v>11</v>
      </c>
      <c r="E215" s="104" t="s">
        <v>11</v>
      </c>
      <c r="F215" s="104" t="s">
        <v>11</v>
      </c>
      <c r="G215" s="104" t="s">
        <v>11</v>
      </c>
      <c r="H215" s="104" t="s">
        <v>11</v>
      </c>
      <c r="I215" s="104" t="s">
        <v>11</v>
      </c>
      <c r="J215" s="104" t="s">
        <v>11</v>
      </c>
    </row>
    <row r="216" spans="1:10" ht="15.75">
      <c r="A216" s="42">
        <v>75414</v>
      </c>
      <c r="B216" s="43" t="s">
        <v>43</v>
      </c>
      <c r="C216" s="25">
        <f>SUM(C218:C218)</f>
        <v>7400</v>
      </c>
      <c r="D216" s="25">
        <f>SUM(D218:D218)</f>
        <v>7400</v>
      </c>
      <c r="E216" s="25">
        <f>SUM(E218:E218)</f>
        <v>1608.85</v>
      </c>
      <c r="F216" s="44">
        <f>SUM(E216/D216)*100</f>
        <v>21.741216216216213</v>
      </c>
      <c r="G216" s="25">
        <f>SUM(G218:G218)</f>
        <v>7400</v>
      </c>
      <c r="H216" s="25">
        <f>SUM(H218:H218)</f>
        <v>11400</v>
      </c>
      <c r="I216" s="25">
        <f>SUM(I218:I218)</f>
        <v>4400</v>
      </c>
      <c r="J216" s="44">
        <f>SUM(I216/G216)*100</f>
        <v>59.45945945945946</v>
      </c>
    </row>
    <row r="217" spans="1:10" ht="12.75" customHeight="1">
      <c r="A217" s="14"/>
      <c r="B217" s="35"/>
      <c r="C217" s="37"/>
      <c r="D217" s="37"/>
      <c r="E217" s="37"/>
      <c r="F217" s="37"/>
      <c r="G217" s="37"/>
      <c r="H217" s="37"/>
      <c r="I217" s="37"/>
      <c r="J217" s="37"/>
    </row>
    <row r="218" spans="1:10" ht="60.75">
      <c r="A218" s="43"/>
      <c r="B218" s="47" t="s">
        <v>274</v>
      </c>
      <c r="C218" s="31">
        <v>7400</v>
      </c>
      <c r="D218" s="31">
        <v>7400</v>
      </c>
      <c r="E218" s="31">
        <v>1608.85</v>
      </c>
      <c r="F218" s="30">
        <f>SUM(E218/D218)*100</f>
        <v>21.741216216216213</v>
      </c>
      <c r="G218" s="31">
        <v>7400</v>
      </c>
      <c r="H218" s="31">
        <v>11400</v>
      </c>
      <c r="I218" s="31">
        <f>11400-7000</f>
        <v>4400</v>
      </c>
      <c r="J218" s="30">
        <f>SUM(I218/G218)*100</f>
        <v>59.45945945945946</v>
      </c>
    </row>
    <row r="219" spans="1:10" ht="12.75" customHeight="1">
      <c r="A219" s="35"/>
      <c r="B219" s="61"/>
      <c r="C219" s="37"/>
      <c r="D219" s="37"/>
      <c r="E219" s="37"/>
      <c r="F219" s="37"/>
      <c r="G219" s="37"/>
      <c r="H219" s="37"/>
      <c r="I219" s="37"/>
      <c r="J219" s="37"/>
    </row>
    <row r="220" spans="1:10" ht="15.75">
      <c r="A220" s="42">
        <v>75416</v>
      </c>
      <c r="B220" s="43" t="s">
        <v>178</v>
      </c>
      <c r="C220" s="25">
        <f>SUM(C222:C224)</f>
        <v>949500</v>
      </c>
      <c r="D220" s="25">
        <f>SUM(D222:D224)</f>
        <v>949500</v>
      </c>
      <c r="E220" s="25">
        <f>SUM(E222:E224)</f>
        <v>592923.5</v>
      </c>
      <c r="F220" s="44">
        <f>SUM(E220/D220)*100</f>
        <v>62.44586624539231</v>
      </c>
      <c r="G220" s="25">
        <f>SUM(G222:G224)</f>
        <v>914500</v>
      </c>
      <c r="H220" s="25">
        <f>SUM(H222:H224)</f>
        <v>966300</v>
      </c>
      <c r="I220" s="25">
        <f>SUM(I222:I224)</f>
        <v>827300</v>
      </c>
      <c r="J220" s="44">
        <f>SUM(I220/G220)*100</f>
        <v>90.46473482777473</v>
      </c>
    </row>
    <row r="221" spans="1:10" ht="15.75">
      <c r="A221" s="35"/>
      <c r="B221" s="105"/>
      <c r="C221" s="37"/>
      <c r="D221" s="37"/>
      <c r="E221" s="37"/>
      <c r="F221" s="37"/>
      <c r="G221" s="37"/>
      <c r="H221" s="37"/>
      <c r="I221" s="37"/>
      <c r="J221" s="37"/>
    </row>
    <row r="222" spans="1:10" ht="15.75">
      <c r="A222" s="14"/>
      <c r="B222" s="67" t="s">
        <v>275</v>
      </c>
      <c r="C222" s="31">
        <f>835500-100000</f>
        <v>735500</v>
      </c>
      <c r="D222" s="31">
        <f>835500-100000</f>
        <v>735500</v>
      </c>
      <c r="E222" s="31">
        <v>505984</v>
      </c>
      <c r="F222" s="30">
        <f>SUM(E222/D222)*100</f>
        <v>68.79456152277362</v>
      </c>
      <c r="G222" s="31">
        <v>700500</v>
      </c>
      <c r="H222" s="31">
        <v>749300</v>
      </c>
      <c r="I222" s="31">
        <f>749300-40000</f>
        <v>709300</v>
      </c>
      <c r="J222" s="30">
        <f>SUM(I222/G222)*100</f>
        <v>101.25624553890079</v>
      </c>
    </row>
    <row r="223" spans="1:10" ht="15.75">
      <c r="A223" s="14"/>
      <c r="B223" s="28" t="s">
        <v>276</v>
      </c>
      <c r="C223" s="31">
        <f>164400-14400</f>
        <v>150000</v>
      </c>
      <c r="D223" s="31">
        <f>164400-14400</f>
        <v>150000</v>
      </c>
      <c r="E223" s="31">
        <v>86939.5</v>
      </c>
      <c r="F223" s="30">
        <f>SUM(E223/D223)*100</f>
        <v>57.959666666666664</v>
      </c>
      <c r="G223" s="31">
        <v>150000</v>
      </c>
      <c r="H223" s="31">
        <v>148000</v>
      </c>
      <c r="I223" s="31">
        <f>148000-30000</f>
        <v>118000</v>
      </c>
      <c r="J223" s="30">
        <f>SUM(I223/G223)*100</f>
        <v>78.66666666666666</v>
      </c>
    </row>
    <row r="224" spans="1:10" ht="15.75">
      <c r="A224" s="14"/>
      <c r="B224" s="64" t="s">
        <v>152</v>
      </c>
      <c r="C224" s="65">
        <f>SUM(C226)</f>
        <v>64000</v>
      </c>
      <c r="D224" s="65">
        <f>SUM(D226)</f>
        <v>64000</v>
      </c>
      <c r="E224" s="65">
        <f>SUM(E226)</f>
        <v>0</v>
      </c>
      <c r="F224" s="169">
        <f>SUM(E224/D224)*100</f>
        <v>0</v>
      </c>
      <c r="G224" s="65">
        <f>SUM(G226)</f>
        <v>64000</v>
      </c>
      <c r="H224" s="65">
        <f>SUM(H226)</f>
        <v>69000</v>
      </c>
      <c r="I224" s="65">
        <f>SUM(I226)</f>
        <v>0</v>
      </c>
      <c r="J224" s="169">
        <v>0</v>
      </c>
    </row>
    <row r="225" spans="1:10" ht="15.75">
      <c r="A225" s="14"/>
      <c r="B225" s="64" t="s">
        <v>3</v>
      </c>
      <c r="C225" s="49"/>
      <c r="D225" s="49"/>
      <c r="E225" s="49"/>
      <c r="F225" s="49"/>
      <c r="G225" s="49"/>
      <c r="H225" s="49"/>
      <c r="I225" s="49"/>
      <c r="J225" s="49"/>
    </row>
    <row r="226" spans="1:10" ht="16.5" thickBot="1">
      <c r="A226" s="43"/>
      <c r="B226" s="47" t="s">
        <v>280</v>
      </c>
      <c r="C226" s="31">
        <v>64000</v>
      </c>
      <c r="D226" s="49">
        <v>64000</v>
      </c>
      <c r="E226" s="49">
        <v>0</v>
      </c>
      <c r="F226" s="167">
        <f>SUM(E226/D226)*100</f>
        <v>0</v>
      </c>
      <c r="G226" s="49">
        <v>64000</v>
      </c>
      <c r="H226" s="49">
        <v>69000</v>
      </c>
      <c r="I226" s="49">
        <f>69000-69000</f>
        <v>0</v>
      </c>
      <c r="J226" s="167">
        <v>0</v>
      </c>
    </row>
    <row r="227" spans="1:10" ht="16.5" thickTop="1">
      <c r="A227" s="14"/>
      <c r="B227" s="14"/>
      <c r="C227" s="104" t="s">
        <v>11</v>
      </c>
      <c r="D227" s="37" t="s">
        <v>11</v>
      </c>
      <c r="E227" s="37" t="s">
        <v>11</v>
      </c>
      <c r="F227" s="37" t="s">
        <v>11</v>
      </c>
      <c r="G227" s="37" t="s">
        <v>11</v>
      </c>
      <c r="H227" s="37" t="s">
        <v>11</v>
      </c>
      <c r="I227" s="37" t="s">
        <v>11</v>
      </c>
      <c r="J227" s="37" t="s">
        <v>11</v>
      </c>
    </row>
    <row r="228" spans="1:10" ht="15.75">
      <c r="A228" s="42">
        <v>75421</v>
      </c>
      <c r="B228" s="43" t="s">
        <v>264</v>
      </c>
      <c r="C228" s="25">
        <f>SUM(C232:C232)</f>
        <v>7400</v>
      </c>
      <c r="D228" s="25">
        <f>SUM(D230:D232)</f>
        <v>0</v>
      </c>
      <c r="E228" s="25">
        <f>SUM(E230:E232)</f>
        <v>0</v>
      </c>
      <c r="F228" s="44">
        <v>0</v>
      </c>
      <c r="G228" s="25">
        <f>SUM(G230:G232)</f>
        <v>0</v>
      </c>
      <c r="H228" s="25">
        <f>SUM(H230:H232)</f>
        <v>30000</v>
      </c>
      <c r="I228" s="25">
        <f>SUM(I230:I232)</f>
        <v>4000</v>
      </c>
      <c r="J228" s="44">
        <v>0</v>
      </c>
    </row>
    <row r="229" spans="1:10" ht="15.75">
      <c r="A229" s="14"/>
      <c r="B229" s="35"/>
      <c r="C229" s="37"/>
      <c r="D229" s="37"/>
      <c r="E229" s="37"/>
      <c r="F229" s="37"/>
      <c r="G229" s="37"/>
      <c r="H229" s="37"/>
      <c r="I229" s="37"/>
      <c r="J229" s="37"/>
    </row>
    <row r="230" spans="1:10" ht="15.75">
      <c r="A230" s="14"/>
      <c r="B230" s="43" t="s">
        <v>277</v>
      </c>
      <c r="C230" s="175"/>
      <c r="D230" s="31">
        <v>0</v>
      </c>
      <c r="E230" s="31">
        <v>0</v>
      </c>
      <c r="F230" s="30">
        <v>0</v>
      </c>
      <c r="G230" s="31">
        <v>0</v>
      </c>
      <c r="H230" s="31">
        <v>20000</v>
      </c>
      <c r="I230" s="31">
        <f>20000-20000</f>
        <v>0</v>
      </c>
      <c r="J230" s="30">
        <v>0</v>
      </c>
    </row>
    <row r="231" spans="1:10" ht="46.5">
      <c r="A231" s="14"/>
      <c r="B231" s="176" t="s">
        <v>278</v>
      </c>
      <c r="C231" s="177"/>
      <c r="D231" s="77">
        <v>0</v>
      </c>
      <c r="E231" s="77">
        <v>0</v>
      </c>
      <c r="F231" s="77">
        <v>0</v>
      </c>
      <c r="G231" s="77">
        <v>0</v>
      </c>
      <c r="H231" s="77">
        <v>5000</v>
      </c>
      <c r="I231" s="77">
        <f>5000-3000</f>
        <v>2000</v>
      </c>
      <c r="J231" s="30">
        <v>0</v>
      </c>
    </row>
    <row r="232" spans="1:10" ht="45.75">
      <c r="A232" s="43"/>
      <c r="B232" s="47" t="s">
        <v>279</v>
      </c>
      <c r="C232" s="31">
        <v>7400</v>
      </c>
      <c r="D232" s="31">
        <v>0</v>
      </c>
      <c r="E232" s="31">
        <v>0</v>
      </c>
      <c r="F232" s="30">
        <v>0</v>
      </c>
      <c r="G232" s="31">
        <v>0</v>
      </c>
      <c r="H232" s="31">
        <v>5000</v>
      </c>
      <c r="I232" s="31">
        <f>5000-3000</f>
        <v>2000</v>
      </c>
      <c r="J232" s="30">
        <v>0</v>
      </c>
    </row>
    <row r="233" spans="1:10" ht="15.75">
      <c r="A233" s="32"/>
      <c r="B233" s="101"/>
      <c r="C233" s="81"/>
      <c r="D233" s="81"/>
      <c r="E233" s="81"/>
      <c r="F233" s="81"/>
      <c r="G233" s="81"/>
      <c r="H233" s="81"/>
      <c r="I233" s="81"/>
      <c r="J233" s="81"/>
    </row>
    <row r="234" spans="1:10" ht="15.75">
      <c r="A234" s="35"/>
      <c r="B234" s="105"/>
      <c r="C234" s="37"/>
      <c r="D234" s="37"/>
      <c r="E234" s="37"/>
      <c r="F234" s="37"/>
      <c r="G234" s="37"/>
      <c r="H234" s="37"/>
      <c r="I234" s="37"/>
      <c r="J234" s="37"/>
    </row>
    <row r="235" spans="1:10" ht="63.75" thickBot="1">
      <c r="A235" s="38">
        <v>756</v>
      </c>
      <c r="B235" s="99" t="s">
        <v>143</v>
      </c>
      <c r="C235" s="40">
        <f>SUM(C237)</f>
        <v>24650</v>
      </c>
      <c r="D235" s="40">
        <f>SUM(D237)</f>
        <v>24650</v>
      </c>
      <c r="E235" s="40">
        <f>SUM(E237)</f>
        <v>17849.8</v>
      </c>
      <c r="F235" s="19">
        <f>SUM(E235/D235)*100</f>
        <v>72.4129817444219</v>
      </c>
      <c r="G235" s="40">
        <f>SUM(G237)</f>
        <v>27149</v>
      </c>
      <c r="H235" s="40">
        <f>SUM(H237)</f>
        <v>0</v>
      </c>
      <c r="I235" s="40">
        <f>SUM(I237)</f>
        <v>0</v>
      </c>
      <c r="J235" s="19">
        <f>SUM(I235/G235)*100</f>
        <v>0</v>
      </c>
    </row>
    <row r="236" spans="1:10" ht="16.5" thickTop="1">
      <c r="A236" s="14"/>
      <c r="B236" s="14"/>
      <c r="C236" s="104" t="s">
        <v>11</v>
      </c>
      <c r="D236" s="104" t="s">
        <v>11</v>
      </c>
      <c r="E236" s="104" t="s">
        <v>11</v>
      </c>
      <c r="F236" s="104" t="s">
        <v>11</v>
      </c>
      <c r="G236" s="104" t="s">
        <v>11</v>
      </c>
      <c r="H236" s="104" t="s">
        <v>11</v>
      </c>
      <c r="I236" s="104" t="s">
        <v>11</v>
      </c>
      <c r="J236" s="104" t="s">
        <v>11</v>
      </c>
    </row>
    <row r="237" spans="1:10" ht="31.5">
      <c r="A237" s="42">
        <v>75647</v>
      </c>
      <c r="B237" s="78" t="s">
        <v>121</v>
      </c>
      <c r="C237" s="25">
        <f>SUM(C239:C244)</f>
        <v>24650</v>
      </c>
      <c r="D237" s="25">
        <f>SUM(D239:D244)</f>
        <v>24650</v>
      </c>
      <c r="E237" s="25">
        <f>SUM(E239:E244)</f>
        <v>17849.8</v>
      </c>
      <c r="F237" s="44">
        <f>SUM(E237/D237)*100</f>
        <v>72.4129817444219</v>
      </c>
      <c r="G237" s="25">
        <f>SUM(G239:G244)</f>
        <v>27149</v>
      </c>
      <c r="H237" s="25">
        <f>SUM(H239:H244)</f>
        <v>0</v>
      </c>
      <c r="I237" s="25">
        <f>SUM(I239:I244)</f>
        <v>0</v>
      </c>
      <c r="J237" s="44">
        <f>SUM(I237/G237)*100</f>
        <v>0</v>
      </c>
    </row>
    <row r="238" spans="1:10" ht="15.75">
      <c r="A238" s="14"/>
      <c r="B238" s="14"/>
      <c r="C238" s="41"/>
      <c r="D238" s="41"/>
      <c r="E238" s="41"/>
      <c r="F238" s="41"/>
      <c r="G238" s="41"/>
      <c r="H238" s="41"/>
      <c r="I238" s="41"/>
      <c r="J238" s="41"/>
    </row>
    <row r="239" spans="1:10" ht="15.75">
      <c r="A239" s="43"/>
      <c r="B239" s="47" t="s">
        <v>172</v>
      </c>
      <c r="C239" s="31">
        <v>24650</v>
      </c>
      <c r="D239" s="31">
        <v>24650</v>
      </c>
      <c r="E239" s="31">
        <v>17849.8</v>
      </c>
      <c r="F239" s="30">
        <f>SUM(E239/D239)*100</f>
        <v>72.4129817444219</v>
      </c>
      <c r="G239" s="31">
        <v>27149</v>
      </c>
      <c r="H239" s="31">
        <v>0</v>
      </c>
      <c r="I239" s="31">
        <v>0</v>
      </c>
      <c r="J239" s="30">
        <f>SUM(I239/G239)*100</f>
        <v>0</v>
      </c>
    </row>
    <row r="240" spans="1:10" ht="16.5" thickBot="1">
      <c r="A240" s="32"/>
      <c r="B240" s="101"/>
      <c r="C240" s="81"/>
      <c r="D240" s="81"/>
      <c r="E240" s="81"/>
      <c r="F240" s="81"/>
      <c r="G240" s="81"/>
      <c r="H240" s="81"/>
      <c r="I240" s="81"/>
      <c r="J240" s="81"/>
    </row>
    <row r="241" spans="1:10" ht="15.75">
      <c r="A241" s="2"/>
      <c r="B241" s="3"/>
      <c r="C241" s="4"/>
      <c r="D241" s="4"/>
      <c r="E241" s="4"/>
      <c r="F241" s="4"/>
      <c r="G241" s="4"/>
      <c r="H241" s="4"/>
      <c r="I241" s="4"/>
      <c r="J241" s="4"/>
    </row>
    <row r="242" spans="1:10" ht="15.75">
      <c r="A242" s="5" t="s">
        <v>22</v>
      </c>
      <c r="B242" s="6" t="s">
        <v>1</v>
      </c>
      <c r="C242" s="7" t="s">
        <v>120</v>
      </c>
      <c r="D242" s="7" t="s">
        <v>120</v>
      </c>
      <c r="E242" s="7" t="s">
        <v>146</v>
      </c>
      <c r="F242" s="7" t="s">
        <v>21</v>
      </c>
      <c r="G242" s="7" t="s">
        <v>211</v>
      </c>
      <c r="H242" s="7" t="s">
        <v>216</v>
      </c>
      <c r="I242" s="7" t="s">
        <v>213</v>
      </c>
      <c r="J242" s="7" t="s">
        <v>21</v>
      </c>
    </row>
    <row r="243" spans="1:10" ht="15.75">
      <c r="A243" s="5" t="s">
        <v>24</v>
      </c>
      <c r="B243" s="8"/>
      <c r="C243" s="7" t="s">
        <v>181</v>
      </c>
      <c r="D243" s="7" t="s">
        <v>210</v>
      </c>
      <c r="E243" s="7" t="s">
        <v>210</v>
      </c>
      <c r="F243" s="7" t="s">
        <v>10</v>
      </c>
      <c r="G243" s="7" t="s">
        <v>212</v>
      </c>
      <c r="H243" s="7" t="s">
        <v>217</v>
      </c>
      <c r="I243" s="7" t="s">
        <v>214</v>
      </c>
      <c r="J243" s="7" t="s">
        <v>10</v>
      </c>
    </row>
    <row r="244" spans="1:10" ht="16.5" thickBot="1">
      <c r="A244" s="9"/>
      <c r="B244" s="10"/>
      <c r="C244" s="11" t="s">
        <v>140</v>
      </c>
      <c r="D244" s="11" t="s">
        <v>140</v>
      </c>
      <c r="E244" s="11" t="s">
        <v>140</v>
      </c>
      <c r="F244" s="11"/>
      <c r="G244" s="11" t="s">
        <v>215</v>
      </c>
      <c r="H244" s="11" t="s">
        <v>140</v>
      </c>
      <c r="I244" s="11" t="s">
        <v>140</v>
      </c>
      <c r="J244" s="11"/>
    </row>
    <row r="245" spans="1:10" ht="12.75" customHeight="1">
      <c r="A245" s="35"/>
      <c r="B245" s="105"/>
      <c r="C245" s="37"/>
      <c r="D245" s="37"/>
      <c r="E245" s="37"/>
      <c r="F245" s="37"/>
      <c r="G245" s="37"/>
      <c r="H245" s="37"/>
      <c r="I245" s="37"/>
      <c r="J245" s="37"/>
    </row>
    <row r="246" spans="1:10" ht="16.5" thickBot="1">
      <c r="A246" s="38">
        <v>757</v>
      </c>
      <c r="B246" s="107" t="s">
        <v>44</v>
      </c>
      <c r="C246" s="40">
        <f>SUM(C248,C252)</f>
        <v>1936200</v>
      </c>
      <c r="D246" s="40">
        <f>SUM(D248,D252)</f>
        <v>1936200</v>
      </c>
      <c r="E246" s="40">
        <f>SUM(E248,E252)</f>
        <v>1179357.74</v>
      </c>
      <c r="F246" s="19">
        <f>SUM(E246/D246)*100</f>
        <v>60.91094618324553</v>
      </c>
      <c r="G246" s="40">
        <f>SUM(G248,G252)</f>
        <v>1721200</v>
      </c>
      <c r="H246" s="40">
        <f>SUM(H248,H252)</f>
        <v>2336200</v>
      </c>
      <c r="I246" s="40">
        <f>SUM(I248,I252)</f>
        <v>2336200</v>
      </c>
      <c r="J246" s="19">
        <f>SUM(I246/G246)*100</f>
        <v>135.73088542877062</v>
      </c>
    </row>
    <row r="247" spans="1:10" ht="12.75" customHeight="1" thickTop="1">
      <c r="A247" s="14"/>
      <c r="B247" s="51"/>
      <c r="C247" s="27"/>
      <c r="D247" s="27"/>
      <c r="E247" s="27"/>
      <c r="F247" s="27"/>
      <c r="G247" s="27"/>
      <c r="H247" s="27"/>
      <c r="I247" s="27"/>
      <c r="J247" s="27"/>
    </row>
    <row r="248" spans="1:10" ht="47.25">
      <c r="A248" s="42">
        <v>75702</v>
      </c>
      <c r="B248" s="108" t="s">
        <v>142</v>
      </c>
      <c r="C248" s="25">
        <f>SUM(C250)</f>
        <v>1500000</v>
      </c>
      <c r="D248" s="25">
        <f>SUM(D250)</f>
        <v>1500000</v>
      </c>
      <c r="E248" s="25">
        <f>SUM(E250)</f>
        <v>1179357.74</v>
      </c>
      <c r="F248" s="44">
        <f>SUM(E248/D248)*100</f>
        <v>78.62384933333333</v>
      </c>
      <c r="G248" s="25">
        <f>SUM(G250)</f>
        <v>1721200</v>
      </c>
      <c r="H248" s="25">
        <f>SUM(H250)</f>
        <v>1900000</v>
      </c>
      <c r="I248" s="25">
        <f>SUM(I250)</f>
        <v>1900000</v>
      </c>
      <c r="J248" s="44">
        <f>SUM(I248/G248)*100</f>
        <v>110.38810132465721</v>
      </c>
    </row>
    <row r="249" spans="1:10" ht="12.75" customHeight="1">
      <c r="A249" s="14"/>
      <c r="B249" s="105"/>
      <c r="C249" s="27"/>
      <c r="D249" s="27"/>
      <c r="E249" s="27"/>
      <c r="F249" s="27"/>
      <c r="G249" s="27"/>
      <c r="H249" s="27"/>
      <c r="I249" s="27"/>
      <c r="J249" s="27"/>
    </row>
    <row r="250" spans="1:10" ht="30.75">
      <c r="A250" s="14"/>
      <c r="B250" s="62" t="s">
        <v>282</v>
      </c>
      <c r="C250" s="31">
        <v>1500000</v>
      </c>
      <c r="D250" s="31">
        <v>1500000</v>
      </c>
      <c r="E250" s="31">
        <v>1179357.74</v>
      </c>
      <c r="F250" s="30">
        <f>SUM(E250/D250)*100</f>
        <v>78.62384933333333</v>
      </c>
      <c r="G250" s="31">
        <f>1841200-120000</f>
        <v>1721200</v>
      </c>
      <c r="H250" s="31">
        <v>1900000</v>
      </c>
      <c r="I250" s="31">
        <v>1900000</v>
      </c>
      <c r="J250" s="30">
        <f>SUM(I250/G250)*100</f>
        <v>110.38810132465721</v>
      </c>
    </row>
    <row r="251" spans="1:10" ht="12.75" customHeight="1">
      <c r="A251" s="14"/>
      <c r="B251" s="109"/>
      <c r="C251" s="27"/>
      <c r="D251" s="27"/>
      <c r="E251" s="27"/>
      <c r="F251" s="27"/>
      <c r="G251" s="27"/>
      <c r="H251" s="27"/>
      <c r="I251" s="27"/>
      <c r="J251" s="27"/>
    </row>
    <row r="252" spans="1:10" ht="47.25">
      <c r="A252" s="42">
        <v>75704</v>
      </c>
      <c r="B252" s="108" t="s">
        <v>88</v>
      </c>
      <c r="C252" s="25">
        <f>SUM(C254:C254)</f>
        <v>436200</v>
      </c>
      <c r="D252" s="25">
        <f>SUM(D254:D254)</f>
        <v>436200</v>
      </c>
      <c r="E252" s="25">
        <f>SUM(E254:E254)</f>
        <v>0</v>
      </c>
      <c r="F252" s="44">
        <f>SUM(E252/D252)*100</f>
        <v>0</v>
      </c>
      <c r="G252" s="25">
        <f>SUM(G254:G254)</f>
        <v>0</v>
      </c>
      <c r="H252" s="25">
        <f>SUM(H254:H254)</f>
        <v>436200</v>
      </c>
      <c r="I252" s="25">
        <f>SUM(I254:I254)</f>
        <v>436200</v>
      </c>
      <c r="J252" s="44">
        <v>0</v>
      </c>
    </row>
    <row r="253" spans="1:10" ht="12.75" customHeight="1">
      <c r="A253" s="14"/>
      <c r="B253" s="109"/>
      <c r="C253" s="27"/>
      <c r="D253" s="27"/>
      <c r="E253" s="27"/>
      <c r="F253" s="27"/>
      <c r="G253" s="27"/>
      <c r="H253" s="27"/>
      <c r="I253" s="27"/>
      <c r="J253" s="27"/>
    </row>
    <row r="254" spans="1:10" ht="30.75">
      <c r="A254" s="43"/>
      <c r="B254" s="62" t="s">
        <v>283</v>
      </c>
      <c r="C254" s="31">
        <v>436200</v>
      </c>
      <c r="D254" s="31">
        <v>436200</v>
      </c>
      <c r="E254" s="31">
        <v>0</v>
      </c>
      <c r="F254" s="30">
        <f>SUM(E254/D254)*100</f>
        <v>0</v>
      </c>
      <c r="G254" s="31">
        <v>0</v>
      </c>
      <c r="H254" s="31">
        <v>436200</v>
      </c>
      <c r="I254" s="31">
        <v>436200</v>
      </c>
      <c r="J254" s="30">
        <v>0</v>
      </c>
    </row>
    <row r="255" spans="1:10" ht="15.75">
      <c r="A255" s="32"/>
      <c r="B255" s="87"/>
      <c r="C255" s="106"/>
      <c r="D255" s="106"/>
      <c r="E255" s="106"/>
      <c r="F255" s="106"/>
      <c r="G255" s="106"/>
      <c r="H255" s="106"/>
      <c r="I255" s="106"/>
      <c r="J255" s="106"/>
    </row>
    <row r="256" spans="1:10" ht="12.75" customHeight="1">
      <c r="A256" s="35"/>
      <c r="B256" s="105"/>
      <c r="C256" s="37"/>
      <c r="D256" s="37"/>
      <c r="E256" s="37"/>
      <c r="F256" s="37"/>
      <c r="G256" s="37"/>
      <c r="H256" s="37"/>
      <c r="I256" s="37"/>
      <c r="J256" s="37"/>
    </row>
    <row r="257" spans="1:10" ht="16.5" thickBot="1">
      <c r="A257" s="38">
        <v>758</v>
      </c>
      <c r="B257" s="107" t="s">
        <v>45</v>
      </c>
      <c r="C257" s="40">
        <f>SUM(C263)</f>
        <v>360000</v>
      </c>
      <c r="D257" s="40">
        <f>SUM(D259,D263)</f>
        <v>343016</v>
      </c>
      <c r="E257" s="40">
        <f>SUM(E259,E263)</f>
        <v>-5000</v>
      </c>
      <c r="F257" s="19">
        <f>SUM(E257/D257)*100</f>
        <v>-1.4576579518156587</v>
      </c>
      <c r="G257" s="40">
        <f>SUM(G259,G263)</f>
        <v>0</v>
      </c>
      <c r="H257" s="40">
        <f>SUM(H259,H263)</f>
        <v>0</v>
      </c>
      <c r="I257" s="40">
        <f>SUM(I259,I263)</f>
        <v>360000</v>
      </c>
      <c r="J257" s="19">
        <v>0</v>
      </c>
    </row>
    <row r="258" spans="1:10" ht="12.75" customHeight="1" thickTop="1">
      <c r="A258" s="14"/>
      <c r="B258" s="51"/>
      <c r="C258" s="27"/>
      <c r="D258" s="27"/>
      <c r="E258" s="27"/>
      <c r="F258" s="27"/>
      <c r="G258" s="27"/>
      <c r="H258" s="27"/>
      <c r="I258" s="27"/>
      <c r="J258" s="27"/>
    </row>
    <row r="259" spans="1:10" ht="15.75">
      <c r="A259" s="42">
        <v>75815</v>
      </c>
      <c r="B259" s="110" t="s">
        <v>281</v>
      </c>
      <c r="C259" s="25">
        <f>SUM(C261,C264)</f>
        <v>0</v>
      </c>
      <c r="D259" s="25">
        <f>SUM(D261)</f>
        <v>0</v>
      </c>
      <c r="E259" s="25">
        <f>SUM(E261)</f>
        <v>-5000</v>
      </c>
      <c r="F259" s="44">
        <v>0</v>
      </c>
      <c r="G259" s="25">
        <f>SUM(G261,G264)</f>
        <v>0</v>
      </c>
      <c r="H259" s="25">
        <f>SUM(H261,H264)</f>
        <v>0</v>
      </c>
      <c r="I259" s="25">
        <f>SUM(I261,I264)</f>
        <v>0</v>
      </c>
      <c r="J259" s="44">
        <v>0</v>
      </c>
    </row>
    <row r="260" spans="1:10" ht="12.75" customHeight="1">
      <c r="A260" s="14"/>
      <c r="B260" s="51"/>
      <c r="C260" s="27"/>
      <c r="D260" s="27"/>
      <c r="E260" s="27"/>
      <c r="F260" s="27"/>
      <c r="G260" s="27"/>
      <c r="H260" s="27"/>
      <c r="I260" s="27"/>
      <c r="J260" s="27"/>
    </row>
    <row r="261" spans="1:10" ht="30.75">
      <c r="A261" s="14"/>
      <c r="B261" s="48" t="s">
        <v>284</v>
      </c>
      <c r="C261" s="49">
        <f>SUM(C262)</f>
        <v>0</v>
      </c>
      <c r="D261" s="49">
        <f>SUM(D262)</f>
        <v>0</v>
      </c>
      <c r="E261" s="49">
        <v>-5000</v>
      </c>
      <c r="F261" s="167">
        <v>0</v>
      </c>
      <c r="G261" s="49">
        <v>0</v>
      </c>
      <c r="H261" s="49">
        <f>SUM(H262)</f>
        <v>0</v>
      </c>
      <c r="I261" s="49">
        <f>SUM(I262)</f>
        <v>0</v>
      </c>
      <c r="J261" s="167">
        <v>0</v>
      </c>
    </row>
    <row r="262" spans="1:10" ht="12.75" customHeight="1">
      <c r="A262" s="14"/>
      <c r="B262" s="51"/>
      <c r="C262" s="27"/>
      <c r="D262" s="27"/>
      <c r="E262" s="27"/>
      <c r="F262" s="27"/>
      <c r="G262" s="27"/>
      <c r="H262" s="27"/>
      <c r="I262" s="27"/>
      <c r="J262" s="27"/>
    </row>
    <row r="263" spans="1:10" ht="15.75">
      <c r="A263" s="42">
        <v>75818</v>
      </c>
      <c r="B263" s="110" t="s">
        <v>76</v>
      </c>
      <c r="C263" s="25">
        <f>SUM(C265,C268)</f>
        <v>360000</v>
      </c>
      <c r="D263" s="25">
        <f>SUM(D265,D268)</f>
        <v>343016</v>
      </c>
      <c r="E263" s="25">
        <f>SUM(E265,E268)</f>
        <v>0</v>
      </c>
      <c r="F263" s="44">
        <f>SUM(E263/D263)*100</f>
        <v>0</v>
      </c>
      <c r="G263" s="25">
        <f>SUM(G265,G268)</f>
        <v>0</v>
      </c>
      <c r="H263" s="25">
        <f>SUM(H265,H268)</f>
        <v>0</v>
      </c>
      <c r="I263" s="25">
        <f>SUM(I265,I268)</f>
        <v>360000</v>
      </c>
      <c r="J263" s="44">
        <v>0</v>
      </c>
    </row>
    <row r="264" spans="1:10" ht="12.75" customHeight="1">
      <c r="A264" s="14"/>
      <c r="B264" s="51"/>
      <c r="C264" s="27"/>
      <c r="D264" s="27"/>
      <c r="E264" s="27"/>
      <c r="F264" s="27"/>
      <c r="G264" s="27"/>
      <c r="H264" s="27"/>
      <c r="I264" s="27"/>
      <c r="J264" s="27"/>
    </row>
    <row r="265" spans="1:10" ht="15.75">
      <c r="A265" s="14"/>
      <c r="B265" s="14" t="s">
        <v>2</v>
      </c>
      <c r="C265" s="27">
        <f>SUM(C266)</f>
        <v>130000</v>
      </c>
      <c r="D265" s="27">
        <f>SUM(D266)</f>
        <v>113016</v>
      </c>
      <c r="E265" s="27">
        <f>SUM(E266)</f>
        <v>0</v>
      </c>
      <c r="F265" s="166">
        <f>SUM(E265/D265)*100</f>
        <v>0</v>
      </c>
      <c r="G265" s="27">
        <f>SUM(G266)</f>
        <v>0</v>
      </c>
      <c r="H265" s="27">
        <f>SUM(H266)</f>
        <v>0</v>
      </c>
      <c r="I265" s="27">
        <f>SUM(I266)</f>
        <v>130000</v>
      </c>
      <c r="J265" s="166">
        <v>0</v>
      </c>
    </row>
    <row r="266" spans="1:10" ht="15.75">
      <c r="A266" s="14"/>
      <c r="B266" s="43" t="s">
        <v>14</v>
      </c>
      <c r="C266" s="25">
        <v>130000</v>
      </c>
      <c r="D266" s="25">
        <v>113016</v>
      </c>
      <c r="E266" s="25">
        <v>0</v>
      </c>
      <c r="F266" s="44">
        <f>SUM(E266/D266)*100</f>
        <v>0</v>
      </c>
      <c r="G266" s="25">
        <v>0</v>
      </c>
      <c r="H266" s="25">
        <v>0</v>
      </c>
      <c r="I266" s="25">
        <v>130000</v>
      </c>
      <c r="J266" s="44">
        <v>0</v>
      </c>
    </row>
    <row r="267" spans="1:10" ht="15.75">
      <c r="A267" s="14"/>
      <c r="B267" s="35"/>
      <c r="C267" s="45"/>
      <c r="D267" s="45"/>
      <c r="E267" s="45"/>
      <c r="F267" s="45"/>
      <c r="G267" s="45"/>
      <c r="H267" s="45"/>
      <c r="I267" s="37"/>
      <c r="J267" s="45"/>
    </row>
    <row r="268" spans="1:10" ht="15.75">
      <c r="A268" s="14"/>
      <c r="B268" s="68" t="s">
        <v>15</v>
      </c>
      <c r="C268" s="27">
        <f>SUM(C270)</f>
        <v>230000</v>
      </c>
      <c r="D268" s="27">
        <f>SUM(D270)</f>
        <v>230000</v>
      </c>
      <c r="E268" s="27">
        <f>SUM(E270)</f>
        <v>0</v>
      </c>
      <c r="F268" s="166">
        <f>SUM(E268/D268)*100</f>
        <v>0</v>
      </c>
      <c r="G268" s="27">
        <f>SUM(G270)</f>
        <v>0</v>
      </c>
      <c r="H268" s="27">
        <f>SUM(H270)</f>
        <v>0</v>
      </c>
      <c r="I268" s="27">
        <f>SUM(I270)</f>
        <v>230000</v>
      </c>
      <c r="J268" s="166">
        <v>0</v>
      </c>
    </row>
    <row r="269" spans="1:10" ht="15.75">
      <c r="A269" s="14"/>
      <c r="B269" s="48" t="s">
        <v>3</v>
      </c>
      <c r="C269" s="27"/>
      <c r="D269" s="27"/>
      <c r="E269" s="27"/>
      <c r="F269" s="27"/>
      <c r="G269" s="27"/>
      <c r="H269" s="27"/>
      <c r="I269" s="27"/>
      <c r="J269" s="27"/>
    </row>
    <row r="270" spans="1:10" ht="15.75">
      <c r="A270" s="14"/>
      <c r="B270" s="111" t="s">
        <v>86</v>
      </c>
      <c r="C270" s="25">
        <f>SUM(C271:C272)</f>
        <v>230000</v>
      </c>
      <c r="D270" s="25">
        <f>SUM(D271:D272)</f>
        <v>230000</v>
      </c>
      <c r="E270" s="25">
        <f>SUM(E271:E272)</f>
        <v>0</v>
      </c>
      <c r="F270" s="44">
        <f>SUM(E270/D270)*100</f>
        <v>0</v>
      </c>
      <c r="G270" s="25">
        <f>SUM(G271:G272)</f>
        <v>0</v>
      </c>
      <c r="H270" s="25">
        <f>SUM(H271:H272)</f>
        <v>0</v>
      </c>
      <c r="I270" s="25">
        <f>SUM(I271:I272)</f>
        <v>230000</v>
      </c>
      <c r="J270" s="44">
        <v>0</v>
      </c>
    </row>
    <row r="271" spans="1:10" ht="30.75">
      <c r="A271" s="43"/>
      <c r="B271" s="89" t="s">
        <v>106</v>
      </c>
      <c r="C271" s="159">
        <f>220000+10000</f>
        <v>230000</v>
      </c>
      <c r="D271" s="159">
        <f>220000+10000</f>
        <v>230000</v>
      </c>
      <c r="E271" s="159">
        <v>0</v>
      </c>
      <c r="F271" s="30">
        <f>SUM(E271/D271)*100</f>
        <v>0</v>
      </c>
      <c r="G271" s="159">
        <v>0</v>
      </c>
      <c r="H271" s="159">
        <v>0</v>
      </c>
      <c r="I271" s="159">
        <v>230000</v>
      </c>
      <c r="J271" s="30">
        <v>0</v>
      </c>
    </row>
    <row r="272" spans="1:10" ht="15.75" hidden="1">
      <c r="A272" s="43"/>
      <c r="B272" s="89" t="s">
        <v>85</v>
      </c>
      <c r="C272" s="159">
        <v>0</v>
      </c>
      <c r="D272" s="159">
        <v>0</v>
      </c>
      <c r="E272" s="159">
        <v>0</v>
      </c>
      <c r="F272" s="159">
        <v>0</v>
      </c>
      <c r="G272" s="159">
        <v>0</v>
      </c>
      <c r="H272" s="159">
        <v>0</v>
      </c>
      <c r="I272" s="159">
        <v>0</v>
      </c>
      <c r="J272" s="159">
        <v>0</v>
      </c>
    </row>
    <row r="273" spans="1:10" ht="15.75">
      <c r="A273" s="32"/>
      <c r="B273" s="101"/>
      <c r="C273" s="81"/>
      <c r="D273" s="81"/>
      <c r="E273" s="81"/>
      <c r="F273" s="81"/>
      <c r="G273" s="81"/>
      <c r="H273" s="81"/>
      <c r="I273" s="81"/>
      <c r="J273" s="81"/>
    </row>
    <row r="274" spans="1:10" ht="12.75" customHeight="1">
      <c r="A274" s="35"/>
      <c r="B274" s="35"/>
      <c r="C274" s="37"/>
      <c r="D274" s="37"/>
      <c r="E274" s="37"/>
      <c r="F274" s="37"/>
      <c r="G274" s="37"/>
      <c r="H274" s="37"/>
      <c r="I274" s="37"/>
      <c r="J274" s="37"/>
    </row>
    <row r="275" spans="1:10" ht="16.5" thickBot="1">
      <c r="A275" s="38">
        <v>801</v>
      </c>
      <c r="B275" s="107" t="s">
        <v>46</v>
      </c>
      <c r="C275" s="40">
        <f>SUM(C277,C310,C351,C380,C384,C391,C402)</f>
        <v>38096577</v>
      </c>
      <c r="D275" s="40">
        <f>SUM(D277,D310,D351,D380,D384,D391,D402)</f>
        <v>34643886.59</v>
      </c>
      <c r="E275" s="40">
        <f>SUM(E277,E310,E351,E380,E384,E391,E402)</f>
        <v>23327289.689999998</v>
      </c>
      <c r="F275" s="19">
        <f>SUM(E275/D275)*100</f>
        <v>67.33450540948672</v>
      </c>
      <c r="G275" s="40">
        <f>SUM(G277,G310,G351,G380,G384,G391,G402)</f>
        <v>33005228.75</v>
      </c>
      <c r="H275" s="40">
        <f>SUM(H277,H310,H351,H380,H384,H391,H402)</f>
        <v>46302203</v>
      </c>
      <c r="I275" s="40">
        <f>SUM(I277,I310,I351,I380,I384,I391,I402)</f>
        <v>43105453</v>
      </c>
      <c r="J275" s="19">
        <f>SUM(I275/G275)*100</f>
        <v>130.60189137455987</v>
      </c>
    </row>
    <row r="276" spans="1:10" ht="12.75" customHeight="1" thickTop="1">
      <c r="A276" s="14"/>
      <c r="B276" s="51"/>
      <c r="C276" s="41"/>
      <c r="D276" s="41"/>
      <c r="E276" s="41"/>
      <c r="F276" s="41"/>
      <c r="G276" s="41"/>
      <c r="H276" s="41"/>
      <c r="I276" s="41"/>
      <c r="J276" s="41"/>
    </row>
    <row r="277" spans="1:10" ht="15.75">
      <c r="A277" s="42">
        <v>80101</v>
      </c>
      <c r="B277" s="110" t="s">
        <v>47</v>
      </c>
      <c r="C277" s="25">
        <f>SUM(C279,C284,C297)</f>
        <v>11917503</v>
      </c>
      <c r="D277" s="25">
        <f>SUM(D279,D284,D297)</f>
        <v>12107300</v>
      </c>
      <c r="E277" s="25">
        <f>SUM(E279,E284,E297)</f>
        <v>7699962.62</v>
      </c>
      <c r="F277" s="44">
        <f>SUM(E277/D277)*100</f>
        <v>63.59768585894461</v>
      </c>
      <c r="G277" s="25">
        <f>SUM(G279,G284,G297)</f>
        <v>10929767.78</v>
      </c>
      <c r="H277" s="25">
        <f>SUM(H279,H284,H297)</f>
        <v>13767156</v>
      </c>
      <c r="I277" s="25">
        <f>SUM(I279,I284,I297)</f>
        <v>12069156</v>
      </c>
      <c r="J277" s="44">
        <f>SUM(I277/G277)*100</f>
        <v>110.4246333767944</v>
      </c>
    </row>
    <row r="278" spans="1:10" ht="12.75" customHeight="1">
      <c r="A278" s="14"/>
      <c r="B278" s="51"/>
      <c r="C278" s="45"/>
      <c r="D278" s="45"/>
      <c r="E278" s="45"/>
      <c r="F278" s="45"/>
      <c r="G278" s="45"/>
      <c r="H278" s="45"/>
      <c r="I278" s="45"/>
      <c r="J278" s="45"/>
    </row>
    <row r="279" spans="1:10" ht="15.75" customHeight="1">
      <c r="A279" s="14"/>
      <c r="B279" s="112" t="s">
        <v>148</v>
      </c>
      <c r="C279" s="27">
        <f>10237275+420778-200000-82000-60000-17356+130056</f>
        <v>10428753</v>
      </c>
      <c r="D279" s="27">
        <v>10626407</v>
      </c>
      <c r="E279" s="27">
        <v>7545808.44</v>
      </c>
      <c r="F279" s="166">
        <f>SUM(E279/D279)*100</f>
        <v>71.0099701620689</v>
      </c>
      <c r="G279" s="27">
        <v>10626407</v>
      </c>
      <c r="H279" s="27">
        <f>11154960+407476+56820</f>
        <v>11619256</v>
      </c>
      <c r="I279" s="27">
        <f>11154960+407476+56820-6000-202000-440000</f>
        <v>10971256</v>
      </c>
      <c r="J279" s="166">
        <f>SUM(I279/G279)*100</f>
        <v>103.24520790517435</v>
      </c>
    </row>
    <row r="280" spans="1:10" ht="15.75">
      <c r="A280" s="14"/>
      <c r="B280" s="112" t="s">
        <v>104</v>
      </c>
      <c r="C280" s="27"/>
      <c r="D280" s="27"/>
      <c r="E280" s="27"/>
      <c r="F280" s="27"/>
      <c r="G280" s="27"/>
      <c r="H280" s="27"/>
      <c r="I280" s="27"/>
      <c r="J280" s="27"/>
    </row>
    <row r="281" spans="1:10" ht="15.75">
      <c r="A281" s="14"/>
      <c r="B281" s="67" t="s">
        <v>79</v>
      </c>
      <c r="C281" s="31">
        <f>8620063+420778-82000-60000-17356-200000+130056</f>
        <v>8811541</v>
      </c>
      <c r="D281" s="31">
        <v>8843994</v>
      </c>
      <c r="E281" s="31">
        <v>6425022.18</v>
      </c>
      <c r="F281" s="30">
        <f>SUM(E281/D281)*100</f>
        <v>72.64842309933725</v>
      </c>
      <c r="G281" s="31">
        <v>8843994</v>
      </c>
      <c r="H281" s="31">
        <f>9498078+407476</f>
        <v>9905554</v>
      </c>
      <c r="I281" s="31">
        <f>9498078+407476-440000</f>
        <v>9465554</v>
      </c>
      <c r="J281" s="30">
        <f>SUM(I281/G281)*100</f>
        <v>107.02804637814091</v>
      </c>
    </row>
    <row r="282" spans="1:10" ht="15.75">
      <c r="A282" s="14"/>
      <c r="B282" s="128" t="s">
        <v>50</v>
      </c>
      <c r="C282" s="77">
        <v>71000</v>
      </c>
      <c r="D282" s="77">
        <v>71000</v>
      </c>
      <c r="E282" s="77">
        <v>36431.6</v>
      </c>
      <c r="F282" s="30">
        <f>SUM(E282/D282)*100</f>
        <v>51.31211267605633</v>
      </c>
      <c r="G282" s="77">
        <v>71000</v>
      </c>
      <c r="H282" s="77">
        <v>56820</v>
      </c>
      <c r="I282" s="77">
        <f>56820-6000</f>
        <v>50820</v>
      </c>
      <c r="J282" s="30">
        <f>SUM(I282/G282)*100</f>
        <v>71.57746478873239</v>
      </c>
    </row>
    <row r="283" spans="1:10" ht="12.75" customHeight="1">
      <c r="A283" s="14"/>
      <c r="B283" s="51"/>
      <c r="C283" s="41"/>
      <c r="D283" s="41"/>
      <c r="E283" s="41"/>
      <c r="F283" s="41"/>
      <c r="G283" s="41"/>
      <c r="H283" s="41"/>
      <c r="I283" s="41"/>
      <c r="J283" s="41"/>
    </row>
    <row r="284" spans="1:10" ht="15.75">
      <c r="A284" s="14"/>
      <c r="B284" s="113" t="s">
        <v>82</v>
      </c>
      <c r="C284" s="27">
        <f>SUM(C286:C287,C288:C295)</f>
        <v>413750</v>
      </c>
      <c r="D284" s="27">
        <f>SUM(D286:D287,D288:D295)</f>
        <v>290443</v>
      </c>
      <c r="E284" s="27">
        <f>SUM(E286:E287,E288:E295)</f>
        <v>99115.91</v>
      </c>
      <c r="F284" s="166">
        <f>SUM(E284/D284)*100</f>
        <v>34.125769944533005</v>
      </c>
      <c r="G284" s="27">
        <f>SUM(G286:G287,G288:G295)</f>
        <v>173322.51</v>
      </c>
      <c r="H284" s="27">
        <f>SUM(H286:H287,H288:H295)</f>
        <v>297900</v>
      </c>
      <c r="I284" s="27">
        <f>SUM(I286:I287,I288:I295)</f>
        <v>247900</v>
      </c>
      <c r="J284" s="166">
        <f>SUM(I284/G284)*100</f>
        <v>143.02816177771714</v>
      </c>
    </row>
    <row r="285" spans="1:10" ht="15.75">
      <c r="A285" s="14"/>
      <c r="B285" s="113" t="s">
        <v>3</v>
      </c>
      <c r="C285" s="41"/>
      <c r="D285" s="41"/>
      <c r="E285" s="41"/>
      <c r="F285" s="41"/>
      <c r="G285" s="41"/>
      <c r="H285" s="41"/>
      <c r="I285" s="41"/>
      <c r="J285" s="41"/>
    </row>
    <row r="286" spans="1:10" ht="45.75" customHeight="1">
      <c r="A286" s="14"/>
      <c r="B286" s="47" t="s">
        <v>379</v>
      </c>
      <c r="C286" s="93">
        <f>125000-25000</f>
        <v>100000</v>
      </c>
      <c r="D286" s="93">
        <v>0</v>
      </c>
      <c r="E286" s="93">
        <v>0</v>
      </c>
      <c r="F286" s="30">
        <v>0</v>
      </c>
      <c r="G286" s="93">
        <v>0</v>
      </c>
      <c r="H286" s="93">
        <v>34000</v>
      </c>
      <c r="I286" s="93">
        <v>34000</v>
      </c>
      <c r="J286" s="30">
        <v>0</v>
      </c>
    </row>
    <row r="287" spans="1:10" ht="15.75">
      <c r="A287" s="14"/>
      <c r="B287" s="90" t="s">
        <v>285</v>
      </c>
      <c r="C287" s="77">
        <v>3000</v>
      </c>
      <c r="D287" s="77">
        <v>3000</v>
      </c>
      <c r="E287" s="77">
        <v>2367.61</v>
      </c>
      <c r="F287" s="30">
        <f aca="true" t="shared" si="3" ref="F287:F295">SUM(E287/D287)*100</f>
        <v>78.92033333333333</v>
      </c>
      <c r="G287" s="77">
        <v>2367.61</v>
      </c>
      <c r="H287" s="77">
        <v>3100</v>
      </c>
      <c r="I287" s="77">
        <v>3100</v>
      </c>
      <c r="J287" s="30">
        <f aca="true" t="shared" si="4" ref="J287:J295">SUM(I287/G287)*100</f>
        <v>130.93372641609048</v>
      </c>
    </row>
    <row r="288" spans="1:10" ht="60.75">
      <c r="A288" s="14"/>
      <c r="B288" s="89" t="s">
        <v>286</v>
      </c>
      <c r="C288" s="31">
        <v>750</v>
      </c>
      <c r="D288" s="31">
        <v>750</v>
      </c>
      <c r="E288" s="31">
        <v>30.82</v>
      </c>
      <c r="F288" s="30">
        <f t="shared" si="3"/>
        <v>4.109333333333334</v>
      </c>
      <c r="G288" s="31">
        <v>433</v>
      </c>
      <c r="H288" s="31">
        <v>800</v>
      </c>
      <c r="I288" s="31">
        <v>800</v>
      </c>
      <c r="J288" s="30">
        <f t="shared" si="4"/>
        <v>184.75750577367205</v>
      </c>
    </row>
    <row r="289" spans="1:10" ht="30.75">
      <c r="A289" s="14"/>
      <c r="B289" s="114" t="s">
        <v>287</v>
      </c>
      <c r="C289" s="159">
        <f>17500-7500</f>
        <v>10000</v>
      </c>
      <c r="D289" s="159">
        <v>7500</v>
      </c>
      <c r="E289" s="77">
        <v>0</v>
      </c>
      <c r="F289" s="30">
        <f t="shared" si="3"/>
        <v>0</v>
      </c>
      <c r="G289" s="77">
        <v>0</v>
      </c>
      <c r="H289" s="77">
        <v>10000</v>
      </c>
      <c r="I289" s="77">
        <v>10000</v>
      </c>
      <c r="J289" s="30">
        <v>0</v>
      </c>
    </row>
    <row r="290" spans="1:10" ht="45">
      <c r="A290" s="14"/>
      <c r="B290" s="70" t="s">
        <v>288</v>
      </c>
      <c r="C290" s="31">
        <f>53500-3500</f>
        <v>50000</v>
      </c>
      <c r="D290" s="31">
        <v>47693</v>
      </c>
      <c r="E290" s="31">
        <v>38104.86</v>
      </c>
      <c r="F290" s="30">
        <f t="shared" si="3"/>
        <v>79.89612731428092</v>
      </c>
      <c r="G290" s="31">
        <v>38104.86</v>
      </c>
      <c r="H290" s="31">
        <v>0</v>
      </c>
      <c r="I290" s="31">
        <v>0</v>
      </c>
      <c r="J290" s="30">
        <f t="shared" si="4"/>
        <v>0</v>
      </c>
    </row>
    <row r="291" spans="1:10" ht="30">
      <c r="A291" s="14"/>
      <c r="B291" s="70" t="s">
        <v>289</v>
      </c>
      <c r="C291" s="31">
        <v>0</v>
      </c>
      <c r="D291" s="31">
        <v>2500</v>
      </c>
      <c r="E291" s="31">
        <v>0</v>
      </c>
      <c r="F291" s="30">
        <f t="shared" si="3"/>
        <v>0</v>
      </c>
      <c r="G291" s="31">
        <v>2500</v>
      </c>
      <c r="H291" s="31">
        <v>0</v>
      </c>
      <c r="I291" s="31">
        <v>0</v>
      </c>
      <c r="J291" s="30">
        <v>0</v>
      </c>
    </row>
    <row r="292" spans="1:10" ht="18" customHeight="1">
      <c r="A292" s="14"/>
      <c r="B292" s="114" t="s">
        <v>290</v>
      </c>
      <c r="C292" s="159">
        <f>200000-50000-50000</f>
        <v>100000</v>
      </c>
      <c r="D292" s="159">
        <v>59000</v>
      </c>
      <c r="E292" s="77">
        <v>50986.62</v>
      </c>
      <c r="F292" s="30">
        <f t="shared" si="3"/>
        <v>86.418</v>
      </c>
      <c r="G292" s="77">
        <v>50986.62</v>
      </c>
      <c r="H292" s="77">
        <v>100000</v>
      </c>
      <c r="I292" s="77">
        <v>100000</v>
      </c>
      <c r="J292" s="30">
        <f t="shared" si="4"/>
        <v>196.12988662515772</v>
      </c>
    </row>
    <row r="293" spans="1:10" ht="15.75" customHeight="1">
      <c r="A293" s="14"/>
      <c r="B293" s="114" t="s">
        <v>291</v>
      </c>
      <c r="C293" s="159">
        <f>200000-50000-50000</f>
        <v>100000</v>
      </c>
      <c r="D293" s="159">
        <v>120000</v>
      </c>
      <c r="E293" s="77">
        <v>0</v>
      </c>
      <c r="F293" s="30">
        <f t="shared" si="3"/>
        <v>0</v>
      </c>
      <c r="G293" s="77">
        <v>71304.42</v>
      </c>
      <c r="H293" s="77">
        <v>70000</v>
      </c>
      <c r="I293" s="77">
        <v>70000</v>
      </c>
      <c r="J293" s="30">
        <f t="shared" si="4"/>
        <v>98.1706323394819</v>
      </c>
    </row>
    <row r="294" spans="1:10" ht="15.75">
      <c r="A294" s="14"/>
      <c r="B294" s="114" t="s">
        <v>295</v>
      </c>
      <c r="C294" s="159"/>
      <c r="D294" s="159">
        <v>0</v>
      </c>
      <c r="E294" s="77">
        <v>0</v>
      </c>
      <c r="F294" s="30">
        <v>0</v>
      </c>
      <c r="G294" s="77">
        <v>0</v>
      </c>
      <c r="H294" s="77">
        <v>30000</v>
      </c>
      <c r="I294" s="77">
        <v>30000</v>
      </c>
      <c r="J294" s="30">
        <v>0</v>
      </c>
    </row>
    <row r="295" spans="1:10" ht="15" customHeight="1">
      <c r="A295" s="14"/>
      <c r="B295" s="114" t="s">
        <v>292</v>
      </c>
      <c r="C295" s="159">
        <v>50000</v>
      </c>
      <c r="D295" s="159">
        <v>50000</v>
      </c>
      <c r="E295" s="77">
        <v>7626</v>
      </c>
      <c r="F295" s="30">
        <f t="shared" si="3"/>
        <v>15.251999999999999</v>
      </c>
      <c r="G295" s="77">
        <v>7626</v>
      </c>
      <c r="H295" s="77">
        <v>50000</v>
      </c>
      <c r="I295" s="77">
        <f>50000-50000</f>
        <v>0</v>
      </c>
      <c r="J295" s="30">
        <f t="shared" si="4"/>
        <v>0</v>
      </c>
    </row>
    <row r="296" spans="1:10" ht="15.75">
      <c r="A296" s="14"/>
      <c r="B296" s="61"/>
      <c r="C296" s="37"/>
      <c r="D296" s="37"/>
      <c r="E296" s="37"/>
      <c r="F296" s="37"/>
      <c r="G296" s="37"/>
      <c r="H296" s="37"/>
      <c r="I296" s="37"/>
      <c r="J296" s="37"/>
    </row>
    <row r="297" spans="1:10" ht="15.75">
      <c r="A297" s="14"/>
      <c r="B297" s="64" t="s">
        <v>128</v>
      </c>
      <c r="C297" s="27">
        <f>SUM(C299:C302)</f>
        <v>1075000</v>
      </c>
      <c r="D297" s="27">
        <f>SUM(D299:D303)</f>
        <v>1190450</v>
      </c>
      <c r="E297" s="27">
        <f>SUM(E299:E303)</f>
        <v>55038.270000000004</v>
      </c>
      <c r="F297" s="166">
        <f>SUM(E297/D297)*100</f>
        <v>4.623316392960645</v>
      </c>
      <c r="G297" s="27">
        <f>SUM(G299:G303)</f>
        <v>130038.26999999999</v>
      </c>
      <c r="H297" s="27">
        <f>SUM(H299:H303)</f>
        <v>1850000</v>
      </c>
      <c r="I297" s="27">
        <f>SUM(I299:I303)</f>
        <v>850000</v>
      </c>
      <c r="J297" s="166">
        <f>SUM(I297/G297)*100</f>
        <v>653.6537282447698</v>
      </c>
    </row>
    <row r="298" spans="1:10" ht="15.75">
      <c r="A298" s="14"/>
      <c r="B298" s="64" t="s">
        <v>3</v>
      </c>
      <c r="C298" s="41"/>
      <c r="D298" s="41"/>
      <c r="E298" s="41"/>
      <c r="F298" s="41"/>
      <c r="G298" s="41"/>
      <c r="H298" s="41"/>
      <c r="I298" s="41"/>
      <c r="J298" s="41"/>
    </row>
    <row r="299" spans="1:10" ht="15.75">
      <c r="A299" s="14"/>
      <c r="B299" s="115" t="s">
        <v>105</v>
      </c>
      <c r="C299" s="57"/>
      <c r="D299" s="57"/>
      <c r="E299" s="57"/>
      <c r="F299" s="57"/>
      <c r="G299" s="57"/>
      <c r="H299" s="57"/>
      <c r="I299" s="57"/>
      <c r="J299" s="57"/>
    </row>
    <row r="300" spans="1:10" ht="30.75">
      <c r="A300" s="14"/>
      <c r="B300" s="47" t="s">
        <v>375</v>
      </c>
      <c r="C300" s="31">
        <v>1000000</v>
      </c>
      <c r="D300" s="31">
        <v>1000000</v>
      </c>
      <c r="E300" s="31">
        <v>6539.37</v>
      </c>
      <c r="F300" s="30">
        <f>SUM(E300/D300)*100</f>
        <v>0.653937</v>
      </c>
      <c r="G300" s="31">
        <v>6539.37</v>
      </c>
      <c r="H300" s="31">
        <v>1000000</v>
      </c>
      <c r="I300" s="31">
        <f>1000000-1000000</f>
        <v>0</v>
      </c>
      <c r="J300" s="30">
        <f>SUM(I300/G300)*100</f>
        <v>0</v>
      </c>
    </row>
    <row r="301" spans="1:10" ht="30">
      <c r="A301" s="14"/>
      <c r="B301" s="70" t="s">
        <v>293</v>
      </c>
      <c r="C301" s="77">
        <f>500000-425000</f>
        <v>75000</v>
      </c>
      <c r="D301" s="77">
        <f>500000-425000</f>
        <v>75000</v>
      </c>
      <c r="E301" s="77">
        <v>0</v>
      </c>
      <c r="F301" s="30">
        <f>SUM(E301/D301)*100</f>
        <v>0</v>
      </c>
      <c r="G301" s="77">
        <v>75000</v>
      </c>
      <c r="H301" s="77">
        <v>0</v>
      </c>
      <c r="I301" s="77">
        <v>0</v>
      </c>
      <c r="J301" s="30">
        <v>0</v>
      </c>
    </row>
    <row r="302" spans="1:10" ht="15.75">
      <c r="A302" s="14"/>
      <c r="B302" s="76" t="s">
        <v>294</v>
      </c>
      <c r="C302" s="77">
        <v>0</v>
      </c>
      <c r="D302" s="77">
        <v>115450</v>
      </c>
      <c r="E302" s="77">
        <v>48498.9</v>
      </c>
      <c r="F302" s="30">
        <f>SUM(E302/D302)*100</f>
        <v>42.00857514075357</v>
      </c>
      <c r="G302" s="77">
        <v>48498.9</v>
      </c>
      <c r="H302" s="77">
        <v>0</v>
      </c>
      <c r="I302" s="77">
        <v>0</v>
      </c>
      <c r="J302" s="30">
        <f>SUM(I302/G302)*100</f>
        <v>0</v>
      </c>
    </row>
    <row r="303" spans="1:10" ht="30">
      <c r="A303" s="43"/>
      <c r="B303" s="76" t="s">
        <v>296</v>
      </c>
      <c r="C303" s="77"/>
      <c r="D303" s="77">
        <v>0</v>
      </c>
      <c r="E303" s="77">
        <v>0</v>
      </c>
      <c r="F303" s="168">
        <v>0</v>
      </c>
      <c r="G303" s="77">
        <v>0</v>
      </c>
      <c r="H303" s="77">
        <v>850000</v>
      </c>
      <c r="I303" s="77">
        <v>850000</v>
      </c>
      <c r="J303" s="168">
        <v>0</v>
      </c>
    </row>
    <row r="304" spans="1:10" ht="16.5" thickBot="1">
      <c r="A304" s="32"/>
      <c r="B304" s="80"/>
      <c r="C304" s="81"/>
      <c r="D304" s="81"/>
      <c r="E304" s="81"/>
      <c r="F304" s="81"/>
      <c r="G304" s="81"/>
      <c r="H304" s="81"/>
      <c r="I304" s="81"/>
      <c r="J304" s="81"/>
    </row>
    <row r="305" spans="1:10" ht="15.75">
      <c r="A305" s="2"/>
      <c r="B305" s="3"/>
      <c r="C305" s="4"/>
      <c r="D305" s="4"/>
      <c r="E305" s="4"/>
      <c r="F305" s="4"/>
      <c r="G305" s="4"/>
      <c r="H305" s="4"/>
      <c r="I305" s="4"/>
      <c r="J305" s="4"/>
    </row>
    <row r="306" spans="1:10" ht="15.75">
      <c r="A306" s="5" t="s">
        <v>22</v>
      </c>
      <c r="B306" s="6" t="s">
        <v>1</v>
      </c>
      <c r="C306" s="7" t="s">
        <v>120</v>
      </c>
      <c r="D306" s="7" t="s">
        <v>120</v>
      </c>
      <c r="E306" s="7" t="s">
        <v>146</v>
      </c>
      <c r="F306" s="7" t="s">
        <v>21</v>
      </c>
      <c r="G306" s="7" t="s">
        <v>211</v>
      </c>
      <c r="H306" s="7" t="s">
        <v>216</v>
      </c>
      <c r="I306" s="7" t="s">
        <v>213</v>
      </c>
      <c r="J306" s="7" t="s">
        <v>21</v>
      </c>
    </row>
    <row r="307" spans="1:10" ht="15.75">
      <c r="A307" s="5" t="s">
        <v>24</v>
      </c>
      <c r="B307" s="8"/>
      <c r="C307" s="7" t="s">
        <v>181</v>
      </c>
      <c r="D307" s="7" t="s">
        <v>210</v>
      </c>
      <c r="E307" s="7" t="s">
        <v>210</v>
      </c>
      <c r="F307" s="7" t="s">
        <v>10</v>
      </c>
      <c r="G307" s="7" t="s">
        <v>212</v>
      </c>
      <c r="H307" s="7" t="s">
        <v>217</v>
      </c>
      <c r="I307" s="7" t="s">
        <v>214</v>
      </c>
      <c r="J307" s="7" t="s">
        <v>10</v>
      </c>
    </row>
    <row r="308" spans="1:10" ht="16.5" thickBot="1">
      <c r="A308" s="9"/>
      <c r="B308" s="10"/>
      <c r="C308" s="11" t="s">
        <v>140</v>
      </c>
      <c r="D308" s="11" t="s">
        <v>140</v>
      </c>
      <c r="E308" s="11" t="s">
        <v>140</v>
      </c>
      <c r="F308" s="11"/>
      <c r="G308" s="11" t="s">
        <v>215</v>
      </c>
      <c r="H308" s="11" t="s">
        <v>140</v>
      </c>
      <c r="I308" s="11" t="s">
        <v>140</v>
      </c>
      <c r="J308" s="11"/>
    </row>
    <row r="309" spans="1:10" ht="12.75" customHeight="1">
      <c r="A309" s="35"/>
      <c r="B309" s="35"/>
      <c r="C309" s="37"/>
      <c r="D309" s="37"/>
      <c r="E309" s="37"/>
      <c r="F309" s="37"/>
      <c r="G309" s="37"/>
      <c r="H309" s="37"/>
      <c r="I309" s="37"/>
      <c r="J309" s="37"/>
    </row>
    <row r="310" spans="1:10" ht="15.75">
      <c r="A310" s="42">
        <v>80104</v>
      </c>
      <c r="B310" s="43" t="s">
        <v>48</v>
      </c>
      <c r="C310" s="25">
        <f>SUM(C312,C317,C333)</f>
        <v>13606207</v>
      </c>
      <c r="D310" s="25">
        <f>SUM(D312,D317,D333)</f>
        <v>11895664.59</v>
      </c>
      <c r="E310" s="25">
        <f>SUM(E312,E317,E333)</f>
        <v>8001408.62</v>
      </c>
      <c r="F310" s="44">
        <f>SUM(E310/D310)*100</f>
        <v>67.26323325160264</v>
      </c>
      <c r="G310" s="25">
        <f>SUM(G312,G317,G333)</f>
        <v>11694642.08</v>
      </c>
      <c r="H310" s="25">
        <f>SUM(H312,H317,H333)</f>
        <v>14997790</v>
      </c>
      <c r="I310" s="25">
        <f>SUM(I312,I317,I333)</f>
        <v>13938190</v>
      </c>
      <c r="J310" s="44">
        <f>SUM(I310/G310)*100</f>
        <v>119.18440859200712</v>
      </c>
    </row>
    <row r="311" spans="1:10" ht="12.75" customHeight="1">
      <c r="A311" s="14"/>
      <c r="B311" s="51"/>
      <c r="C311" s="41"/>
      <c r="D311" s="41"/>
      <c r="E311" s="41"/>
      <c r="F311" s="41"/>
      <c r="G311" s="41"/>
      <c r="H311" s="41"/>
      <c r="I311" s="41"/>
      <c r="J311" s="41"/>
    </row>
    <row r="312" spans="1:10" ht="15.75">
      <c r="A312" s="14"/>
      <c r="B312" s="51" t="s">
        <v>129</v>
      </c>
      <c r="C312" s="27">
        <f>10766691-30000-152000-60000+7356+204664+99146</f>
        <v>10835857</v>
      </c>
      <c r="D312" s="27">
        <v>10761929</v>
      </c>
      <c r="E312" s="27">
        <v>7530122.86</v>
      </c>
      <c r="F312" s="166">
        <f>SUM(E312/D312)*100</f>
        <v>69.97001058081688</v>
      </c>
      <c r="G312" s="27">
        <v>10761929</v>
      </c>
      <c r="H312" s="27">
        <f>11267057+149839+12000</f>
        <v>11428896</v>
      </c>
      <c r="I312" s="27">
        <f>11267057+149839+12000-2000-157600</f>
        <v>11269296</v>
      </c>
      <c r="J312" s="166">
        <f>SUM(I312/G312)*100</f>
        <v>104.71446150592519</v>
      </c>
    </row>
    <row r="313" spans="1:10" ht="15.75">
      <c r="A313" s="14"/>
      <c r="B313" s="51" t="s">
        <v>104</v>
      </c>
      <c r="C313" s="27"/>
      <c r="D313" s="27"/>
      <c r="E313" s="27"/>
      <c r="F313" s="27"/>
      <c r="G313" s="27"/>
      <c r="H313" s="27"/>
      <c r="I313" s="27"/>
      <c r="J313" s="27"/>
    </row>
    <row r="314" spans="1:10" ht="15.75">
      <c r="A314" s="14"/>
      <c r="B314" s="67" t="s">
        <v>79</v>
      </c>
      <c r="C314" s="31">
        <f>8268333+204644-152000-60000+7356+204664</f>
        <v>8472997</v>
      </c>
      <c r="D314" s="31">
        <v>8312306</v>
      </c>
      <c r="E314" s="31">
        <v>5902850.44</v>
      </c>
      <c r="F314" s="30">
        <f>SUM(E314/D314)*100</f>
        <v>71.01339195164374</v>
      </c>
      <c r="G314" s="31">
        <v>8312306</v>
      </c>
      <c r="H314" s="31">
        <f>8636503+149839</f>
        <v>8786342</v>
      </c>
      <c r="I314" s="31">
        <f>8636503+149839</f>
        <v>8786342</v>
      </c>
      <c r="J314" s="30">
        <f>SUM(I314/G314)*100</f>
        <v>105.70282181623247</v>
      </c>
    </row>
    <row r="315" spans="1:10" ht="15.75">
      <c r="A315" s="14"/>
      <c r="B315" s="67" t="s">
        <v>130</v>
      </c>
      <c r="C315" s="93">
        <f>16000-4000</f>
        <v>12000</v>
      </c>
      <c r="D315" s="93">
        <f>16000-4000</f>
        <v>12000</v>
      </c>
      <c r="E315" s="93">
        <v>6154</v>
      </c>
      <c r="F315" s="30">
        <f>SUM(E315/D315)*100</f>
        <v>51.28333333333334</v>
      </c>
      <c r="G315" s="93">
        <v>12000</v>
      </c>
      <c r="H315" s="93">
        <v>12000</v>
      </c>
      <c r="I315" s="93">
        <f>12000-2000</f>
        <v>10000</v>
      </c>
      <c r="J315" s="30">
        <f>SUM(I315/G315)*100</f>
        <v>83.33333333333334</v>
      </c>
    </row>
    <row r="316" spans="1:10" ht="15.75">
      <c r="A316" s="14"/>
      <c r="B316" s="51"/>
      <c r="C316" s="27"/>
      <c r="D316" s="27"/>
      <c r="E316" s="27"/>
      <c r="F316" s="27"/>
      <c r="G316" s="27"/>
      <c r="H316" s="27"/>
      <c r="I316" s="27"/>
      <c r="J316" s="27"/>
    </row>
    <row r="317" spans="1:10" ht="15.75">
      <c r="A317" s="14"/>
      <c r="B317" s="51" t="s">
        <v>84</v>
      </c>
      <c r="C317" s="27">
        <f>SUM(C319:C331)</f>
        <v>493950</v>
      </c>
      <c r="D317" s="27">
        <f>SUM(D319:D331)</f>
        <v>536155.01</v>
      </c>
      <c r="E317" s="27">
        <f>SUM(E319:E331)</f>
        <v>423084.47000000003</v>
      </c>
      <c r="F317" s="166">
        <f>SUM(E317/D317)*100</f>
        <v>78.9108489352734</v>
      </c>
      <c r="G317" s="27">
        <f>SUM(G319:G331)</f>
        <v>459740.95</v>
      </c>
      <c r="H317" s="27">
        <f>SUM(H319:H331)</f>
        <v>459394</v>
      </c>
      <c r="I317" s="27">
        <f>SUM(I319:I331)</f>
        <v>409394</v>
      </c>
      <c r="J317" s="166">
        <f>SUM(I317/G317)*100</f>
        <v>89.04884370208919</v>
      </c>
    </row>
    <row r="318" spans="1:10" ht="15.75">
      <c r="A318" s="14"/>
      <c r="B318" s="51" t="s">
        <v>3</v>
      </c>
      <c r="C318" s="41"/>
      <c r="D318" s="41"/>
      <c r="E318" s="41"/>
      <c r="F318" s="41"/>
      <c r="G318" s="41"/>
      <c r="H318" s="41"/>
      <c r="I318" s="41"/>
      <c r="J318" s="41"/>
    </row>
    <row r="319" spans="1:10" ht="48" customHeight="1">
      <c r="A319" s="14"/>
      <c r="B319" s="47" t="s">
        <v>378</v>
      </c>
      <c r="C319" s="93">
        <f>122500-10000-50000</f>
        <v>62500</v>
      </c>
      <c r="D319" s="93">
        <v>47887</v>
      </c>
      <c r="E319" s="93">
        <v>0</v>
      </c>
      <c r="F319" s="30">
        <f aca="true" t="shared" si="5" ref="F319:F326">SUM(E319/D319)*100</f>
        <v>0</v>
      </c>
      <c r="G319" s="93">
        <v>0</v>
      </c>
      <c r="H319" s="93">
        <v>83000</v>
      </c>
      <c r="I319" s="93">
        <f>83000-20000</f>
        <v>63000</v>
      </c>
      <c r="J319" s="30">
        <v>0</v>
      </c>
    </row>
    <row r="320" spans="1:10" ht="30.75">
      <c r="A320" s="14"/>
      <c r="B320" s="47" t="s">
        <v>303</v>
      </c>
      <c r="C320" s="93">
        <v>10000</v>
      </c>
      <c r="D320" s="93">
        <v>0</v>
      </c>
      <c r="E320" s="93">
        <v>0</v>
      </c>
      <c r="F320" s="30">
        <v>0</v>
      </c>
      <c r="G320" s="93">
        <v>0</v>
      </c>
      <c r="H320" s="93">
        <v>135200</v>
      </c>
      <c r="I320" s="93">
        <v>135200</v>
      </c>
      <c r="J320" s="30">
        <v>0</v>
      </c>
    </row>
    <row r="321" spans="1:10" ht="45.75">
      <c r="A321" s="14"/>
      <c r="B321" s="89" t="s">
        <v>304</v>
      </c>
      <c r="C321" s="159">
        <v>750</v>
      </c>
      <c r="D321" s="159">
        <v>750</v>
      </c>
      <c r="E321" s="159">
        <v>180</v>
      </c>
      <c r="F321" s="30">
        <f t="shared" si="5"/>
        <v>24</v>
      </c>
      <c r="G321" s="159">
        <v>750</v>
      </c>
      <c r="H321" s="159">
        <v>800</v>
      </c>
      <c r="I321" s="159">
        <v>800</v>
      </c>
      <c r="J321" s="30">
        <f aca="true" t="shared" si="6" ref="J321:J326">SUM(I321/G321)*100</f>
        <v>106.66666666666667</v>
      </c>
    </row>
    <row r="322" spans="1:10" ht="30.75">
      <c r="A322" s="14"/>
      <c r="B322" s="89" t="s">
        <v>297</v>
      </c>
      <c r="C322" s="159">
        <v>6000</v>
      </c>
      <c r="D322" s="159">
        <v>0</v>
      </c>
      <c r="E322" s="159">
        <v>0</v>
      </c>
      <c r="F322" s="30">
        <v>0</v>
      </c>
      <c r="G322" s="159">
        <v>0</v>
      </c>
      <c r="H322" s="159">
        <v>10000</v>
      </c>
      <c r="I322" s="159">
        <v>10000</v>
      </c>
      <c r="J322" s="30">
        <v>0</v>
      </c>
    </row>
    <row r="323" spans="1:10" ht="18.75" customHeight="1">
      <c r="A323" s="14"/>
      <c r="B323" s="89" t="s">
        <v>189</v>
      </c>
      <c r="C323" s="159">
        <v>221500</v>
      </c>
      <c r="D323" s="159">
        <v>270448.01</v>
      </c>
      <c r="E323" s="159">
        <v>251311.67</v>
      </c>
      <c r="F323" s="30">
        <f t="shared" si="5"/>
        <v>92.92420750295038</v>
      </c>
      <c r="G323" s="159">
        <v>251311.67</v>
      </c>
      <c r="H323" s="159">
        <v>0</v>
      </c>
      <c r="I323" s="159">
        <v>0</v>
      </c>
      <c r="J323" s="30">
        <f t="shared" si="6"/>
        <v>0</v>
      </c>
    </row>
    <row r="324" spans="1:10" ht="18.75" customHeight="1">
      <c r="A324" s="14"/>
      <c r="B324" s="89" t="s">
        <v>302</v>
      </c>
      <c r="C324" s="159"/>
      <c r="D324" s="159">
        <v>7506</v>
      </c>
      <c r="E324" s="159">
        <v>0</v>
      </c>
      <c r="F324" s="30">
        <f t="shared" si="5"/>
        <v>0</v>
      </c>
      <c r="G324" s="159">
        <v>7506</v>
      </c>
      <c r="H324" s="159">
        <v>20394</v>
      </c>
      <c r="I324" s="159">
        <v>20394</v>
      </c>
      <c r="J324" s="30">
        <f t="shared" si="6"/>
        <v>271.7026378896883</v>
      </c>
    </row>
    <row r="325" spans="1:10" ht="30.75">
      <c r="A325" s="14"/>
      <c r="B325" s="89" t="s">
        <v>301</v>
      </c>
      <c r="C325" s="159">
        <f>50000-30000</f>
        <v>20000</v>
      </c>
      <c r="D325" s="159">
        <v>5000</v>
      </c>
      <c r="E325" s="159">
        <v>2400</v>
      </c>
      <c r="F325" s="30">
        <f t="shared" si="5"/>
        <v>48</v>
      </c>
      <c r="G325" s="159">
        <v>2400</v>
      </c>
      <c r="H325" s="159">
        <v>80000</v>
      </c>
      <c r="I325" s="159">
        <f>80000-30000</f>
        <v>50000</v>
      </c>
      <c r="J325" s="30">
        <f t="shared" si="6"/>
        <v>2083.333333333333</v>
      </c>
    </row>
    <row r="326" spans="1:10" ht="30.75">
      <c r="A326" s="14"/>
      <c r="B326" s="90" t="s">
        <v>190</v>
      </c>
      <c r="C326" s="160">
        <v>0</v>
      </c>
      <c r="D326" s="159">
        <v>65000</v>
      </c>
      <c r="E326" s="159">
        <v>62416.28</v>
      </c>
      <c r="F326" s="168">
        <f t="shared" si="5"/>
        <v>96.02504615384615</v>
      </c>
      <c r="G326" s="159">
        <v>62416.28</v>
      </c>
      <c r="H326" s="159">
        <v>0</v>
      </c>
      <c r="I326" s="159">
        <v>0</v>
      </c>
      <c r="J326" s="168">
        <f t="shared" si="6"/>
        <v>0</v>
      </c>
    </row>
    <row r="327" spans="1:10" ht="15.75">
      <c r="A327" s="14"/>
      <c r="B327" s="115" t="s">
        <v>160</v>
      </c>
      <c r="C327" s="36"/>
      <c r="D327" s="36"/>
      <c r="E327" s="36"/>
      <c r="F327" s="36"/>
      <c r="G327" s="36"/>
      <c r="H327" s="36"/>
      <c r="I327" s="36"/>
      <c r="J327" s="36"/>
    </row>
    <row r="328" spans="1:10" ht="45.75">
      <c r="A328" s="14"/>
      <c r="B328" s="47" t="s">
        <v>377</v>
      </c>
      <c r="C328" s="31">
        <f>50000-20000</f>
        <v>30000</v>
      </c>
      <c r="D328" s="31">
        <v>728</v>
      </c>
      <c r="E328" s="31">
        <v>0</v>
      </c>
      <c r="F328" s="30">
        <f>SUM(E328/D328)*100</f>
        <v>0</v>
      </c>
      <c r="G328" s="31">
        <v>0</v>
      </c>
      <c r="H328" s="31">
        <v>0</v>
      </c>
      <c r="I328" s="31">
        <v>0</v>
      </c>
      <c r="J328" s="30">
        <v>0</v>
      </c>
    </row>
    <row r="329" spans="1:10" ht="15.75">
      <c r="A329" s="14"/>
      <c r="B329" s="64" t="s">
        <v>159</v>
      </c>
      <c r="C329" s="92"/>
      <c r="D329" s="92"/>
      <c r="E329" s="92"/>
      <c r="F329" s="92"/>
      <c r="G329" s="92"/>
      <c r="H329" s="92"/>
      <c r="I329" s="92"/>
      <c r="J329" s="92"/>
    </row>
    <row r="330" spans="1:10" ht="15.75">
      <c r="A330" s="14"/>
      <c r="B330" s="47" t="s">
        <v>132</v>
      </c>
      <c r="C330" s="93">
        <v>127200</v>
      </c>
      <c r="D330" s="93">
        <v>138836</v>
      </c>
      <c r="E330" s="93">
        <v>106776.52</v>
      </c>
      <c r="F330" s="30">
        <f>SUM(E330/D330)*100</f>
        <v>76.90838111152726</v>
      </c>
      <c r="G330" s="93">
        <v>135357</v>
      </c>
      <c r="H330" s="93">
        <v>130000</v>
      </c>
      <c r="I330" s="93">
        <v>130000</v>
      </c>
      <c r="J330" s="30">
        <f>SUM(I330/G330)*100</f>
        <v>96.04231772276277</v>
      </c>
    </row>
    <row r="331" spans="1:10" ht="30.75" hidden="1">
      <c r="A331" s="14"/>
      <c r="B331" s="47" t="s">
        <v>305</v>
      </c>
      <c r="C331" s="31">
        <f>46000-10000-20000</f>
        <v>16000</v>
      </c>
      <c r="D331" s="31">
        <v>0</v>
      </c>
      <c r="E331" s="31">
        <v>0</v>
      </c>
      <c r="F331" s="30">
        <v>0</v>
      </c>
      <c r="G331" s="31">
        <v>0</v>
      </c>
      <c r="H331" s="31">
        <v>0</v>
      </c>
      <c r="I331" s="31">
        <v>0</v>
      </c>
      <c r="J331" s="30">
        <v>0</v>
      </c>
    </row>
    <row r="332" spans="1:10" ht="15.75">
      <c r="A332" s="14"/>
      <c r="B332" s="115"/>
      <c r="C332" s="45"/>
      <c r="D332" s="45"/>
      <c r="E332" s="45"/>
      <c r="F332" s="45"/>
      <c r="G332" s="45"/>
      <c r="H332" s="45"/>
      <c r="I332" s="45"/>
      <c r="J332" s="45"/>
    </row>
    <row r="333" spans="1:10" ht="15.75">
      <c r="A333" s="14"/>
      <c r="B333" s="64" t="s">
        <v>131</v>
      </c>
      <c r="C333" s="27">
        <f>SUM(C335:C344)</f>
        <v>2276400</v>
      </c>
      <c r="D333" s="27">
        <f>SUM(D335:D344)</f>
        <v>597580.58</v>
      </c>
      <c r="E333" s="27">
        <f>SUM(E335:E344)</f>
        <v>48201.29</v>
      </c>
      <c r="F333" s="166">
        <f>SUM(E333/D333)*100</f>
        <v>8.066073700052302</v>
      </c>
      <c r="G333" s="27">
        <f>SUM(G335:G344)</f>
        <v>472972.13</v>
      </c>
      <c r="H333" s="27">
        <f>SUM(H335:H344)</f>
        <v>3109500</v>
      </c>
      <c r="I333" s="27">
        <f>SUM(I335:I344)</f>
        <v>2259500</v>
      </c>
      <c r="J333" s="166">
        <f>SUM(I333/G333)*100</f>
        <v>477.72370858299837</v>
      </c>
    </row>
    <row r="334" spans="1:10" ht="15.75">
      <c r="A334" s="14"/>
      <c r="B334" s="64" t="s">
        <v>3</v>
      </c>
      <c r="C334" s="27"/>
      <c r="D334" s="27"/>
      <c r="E334" s="27"/>
      <c r="F334" s="27"/>
      <c r="G334" s="27"/>
      <c r="H334" s="27"/>
      <c r="I334" s="27"/>
      <c r="J334" s="27"/>
    </row>
    <row r="335" spans="1:10" ht="31.5">
      <c r="A335" s="14"/>
      <c r="B335" s="95" t="s">
        <v>298</v>
      </c>
      <c r="C335" s="31">
        <v>10400</v>
      </c>
      <c r="D335" s="31">
        <v>10400</v>
      </c>
      <c r="E335" s="31">
        <v>10399.99</v>
      </c>
      <c r="F335" s="30">
        <f aca="true" t="shared" si="7" ref="F335:F344">SUM(E335/D335)*100</f>
        <v>99.99990384615384</v>
      </c>
      <c r="G335" s="31">
        <v>10399.99</v>
      </c>
      <c r="H335" s="31">
        <v>0</v>
      </c>
      <c r="I335" s="31">
        <v>0</v>
      </c>
      <c r="J335" s="30">
        <f>SUM(I335/G335)*100</f>
        <v>0</v>
      </c>
    </row>
    <row r="336" spans="1:10" ht="15.75">
      <c r="A336" s="14"/>
      <c r="B336" s="89" t="s">
        <v>299</v>
      </c>
      <c r="C336" s="77">
        <v>2250000</v>
      </c>
      <c r="D336" s="77">
        <v>550000</v>
      </c>
      <c r="E336" s="77">
        <v>12801.3</v>
      </c>
      <c r="F336" s="30">
        <f t="shared" si="7"/>
        <v>2.327509090909091</v>
      </c>
      <c r="G336" s="77">
        <v>435472.14</v>
      </c>
      <c r="H336" s="77">
        <v>2100000</v>
      </c>
      <c r="I336" s="77">
        <v>2100000</v>
      </c>
      <c r="J336" s="30">
        <f>SUM(I336/G336)*100</f>
        <v>482.23521256721494</v>
      </c>
    </row>
    <row r="337" spans="1:10" ht="18.75" customHeight="1">
      <c r="A337" s="14"/>
      <c r="B337" s="89" t="s">
        <v>189</v>
      </c>
      <c r="C337" s="77">
        <v>0</v>
      </c>
      <c r="D337" s="77">
        <v>80.58</v>
      </c>
      <c r="E337" s="77">
        <v>0</v>
      </c>
      <c r="F337" s="30">
        <f t="shared" si="7"/>
        <v>0</v>
      </c>
      <c r="G337" s="77">
        <v>0</v>
      </c>
      <c r="H337" s="77">
        <v>0</v>
      </c>
      <c r="I337" s="77">
        <v>0</v>
      </c>
      <c r="J337" s="30">
        <v>0</v>
      </c>
    </row>
    <row r="338" spans="1:10" ht="18.75" customHeight="1">
      <c r="A338" s="14"/>
      <c r="B338" s="89" t="s">
        <v>302</v>
      </c>
      <c r="C338" s="77"/>
      <c r="D338" s="77">
        <v>2100</v>
      </c>
      <c r="E338" s="77">
        <v>0</v>
      </c>
      <c r="F338" s="30">
        <f t="shared" si="7"/>
        <v>0</v>
      </c>
      <c r="G338" s="77">
        <v>2100</v>
      </c>
      <c r="H338" s="77">
        <v>0</v>
      </c>
      <c r="I338" s="77">
        <v>0</v>
      </c>
      <c r="J338" s="30">
        <f>SUM(I338/G338)*100</f>
        <v>0</v>
      </c>
    </row>
    <row r="339" spans="1:10" ht="15.75">
      <c r="A339" s="14"/>
      <c r="B339" s="89" t="s">
        <v>300</v>
      </c>
      <c r="C339" s="77">
        <v>0</v>
      </c>
      <c r="D339" s="77">
        <v>25000</v>
      </c>
      <c r="E339" s="77">
        <v>25000</v>
      </c>
      <c r="F339" s="168">
        <f t="shared" si="7"/>
        <v>100</v>
      </c>
      <c r="G339" s="77">
        <v>25000</v>
      </c>
      <c r="H339" s="77">
        <v>0</v>
      </c>
      <c r="I339" s="77">
        <v>0</v>
      </c>
      <c r="J339" s="168">
        <f>SUM(I339/G339)*100</f>
        <v>0</v>
      </c>
    </row>
    <row r="340" spans="1:10" ht="15.75">
      <c r="A340" s="14"/>
      <c r="B340" s="47" t="s">
        <v>306</v>
      </c>
      <c r="C340" s="31"/>
      <c r="D340" s="31">
        <v>0</v>
      </c>
      <c r="E340" s="31">
        <v>0</v>
      </c>
      <c r="F340" s="30">
        <v>0</v>
      </c>
      <c r="G340" s="31">
        <v>0</v>
      </c>
      <c r="H340" s="31">
        <v>850000</v>
      </c>
      <c r="I340" s="31">
        <f>850000-850000</f>
        <v>0</v>
      </c>
      <c r="J340" s="30">
        <v>0</v>
      </c>
    </row>
    <row r="341" spans="1:10" ht="15.75">
      <c r="A341" s="14"/>
      <c r="B341" s="47" t="s">
        <v>381</v>
      </c>
      <c r="C341" s="31"/>
      <c r="D341" s="31">
        <v>0</v>
      </c>
      <c r="E341" s="31">
        <v>0</v>
      </c>
      <c r="F341" s="30">
        <v>0</v>
      </c>
      <c r="G341" s="31">
        <v>0</v>
      </c>
      <c r="H341" s="31">
        <v>8000</v>
      </c>
      <c r="I341" s="31">
        <v>8000</v>
      </c>
      <c r="J341" s="30"/>
    </row>
    <row r="342" spans="1:10" ht="15.75">
      <c r="A342" s="14"/>
      <c r="B342" s="47" t="s">
        <v>382</v>
      </c>
      <c r="C342" s="31">
        <f>46000-10000-20000</f>
        <v>16000</v>
      </c>
      <c r="D342" s="31">
        <v>0</v>
      </c>
      <c r="E342" s="31">
        <v>0</v>
      </c>
      <c r="F342" s="30">
        <v>0</v>
      </c>
      <c r="G342" s="31">
        <v>0</v>
      </c>
      <c r="H342" s="31">
        <v>6000</v>
      </c>
      <c r="I342" s="31">
        <v>6000</v>
      </c>
      <c r="J342" s="30">
        <v>0</v>
      </c>
    </row>
    <row r="343" spans="1:10" ht="31.5">
      <c r="A343" s="14"/>
      <c r="B343" s="47" t="s">
        <v>383</v>
      </c>
      <c r="C343" s="31"/>
      <c r="D343" s="31">
        <v>0</v>
      </c>
      <c r="E343" s="31">
        <v>0</v>
      </c>
      <c r="F343" s="30">
        <v>0</v>
      </c>
      <c r="G343" s="31">
        <v>0</v>
      </c>
      <c r="H343" s="31">
        <v>10000</v>
      </c>
      <c r="I343" s="31">
        <v>10000</v>
      </c>
      <c r="J343" s="30">
        <v>0</v>
      </c>
    </row>
    <row r="344" spans="1:10" ht="30.75">
      <c r="A344" s="43"/>
      <c r="B344" s="47" t="s">
        <v>384</v>
      </c>
      <c r="C344" s="31">
        <v>0</v>
      </c>
      <c r="D344" s="31">
        <v>10000</v>
      </c>
      <c r="E344" s="31">
        <v>0</v>
      </c>
      <c r="F344" s="30">
        <f t="shared" si="7"/>
        <v>0</v>
      </c>
      <c r="G344" s="31">
        <v>0</v>
      </c>
      <c r="H344" s="31">
        <f>17500+118000</f>
        <v>135500</v>
      </c>
      <c r="I344" s="31">
        <f>17500+118000</f>
        <v>135500</v>
      </c>
      <c r="J344" s="30">
        <v>0</v>
      </c>
    </row>
    <row r="345" spans="1:10" ht="16.5" thickBot="1">
      <c r="A345" s="32"/>
      <c r="B345" s="101"/>
      <c r="C345" s="81"/>
      <c r="D345" s="81"/>
      <c r="E345" s="81"/>
      <c r="F345" s="81"/>
      <c r="G345" s="81"/>
      <c r="H345" s="81"/>
      <c r="I345" s="81"/>
      <c r="J345" s="81"/>
    </row>
    <row r="346" spans="1:10" ht="15.75">
      <c r="A346" s="2"/>
      <c r="B346" s="3"/>
      <c r="C346" s="4"/>
      <c r="D346" s="4"/>
      <c r="E346" s="4"/>
      <c r="F346" s="4"/>
      <c r="G346" s="4"/>
      <c r="H346" s="4"/>
      <c r="I346" s="4"/>
      <c r="J346" s="4"/>
    </row>
    <row r="347" spans="1:10" ht="15.75">
      <c r="A347" s="5" t="s">
        <v>22</v>
      </c>
      <c r="B347" s="6" t="s">
        <v>1</v>
      </c>
      <c r="C347" s="7" t="s">
        <v>120</v>
      </c>
      <c r="D347" s="7" t="s">
        <v>120</v>
      </c>
      <c r="E347" s="7" t="s">
        <v>146</v>
      </c>
      <c r="F347" s="7" t="s">
        <v>21</v>
      </c>
      <c r="G347" s="7" t="s">
        <v>211</v>
      </c>
      <c r="H347" s="7" t="s">
        <v>216</v>
      </c>
      <c r="I347" s="7" t="s">
        <v>213</v>
      </c>
      <c r="J347" s="7" t="s">
        <v>21</v>
      </c>
    </row>
    <row r="348" spans="1:10" ht="15.75">
      <c r="A348" s="5" t="s">
        <v>24</v>
      </c>
      <c r="B348" s="8"/>
      <c r="C348" s="7" t="s">
        <v>181</v>
      </c>
      <c r="D348" s="7" t="s">
        <v>210</v>
      </c>
      <c r="E348" s="7" t="s">
        <v>210</v>
      </c>
      <c r="F348" s="7" t="s">
        <v>10</v>
      </c>
      <c r="G348" s="7" t="s">
        <v>212</v>
      </c>
      <c r="H348" s="7" t="s">
        <v>217</v>
      </c>
      <c r="I348" s="7" t="s">
        <v>214</v>
      </c>
      <c r="J348" s="7" t="s">
        <v>10</v>
      </c>
    </row>
    <row r="349" spans="1:10" ht="16.5" thickBot="1">
      <c r="A349" s="9"/>
      <c r="B349" s="10"/>
      <c r="C349" s="11" t="s">
        <v>140</v>
      </c>
      <c r="D349" s="11" t="s">
        <v>140</v>
      </c>
      <c r="E349" s="11" t="s">
        <v>140</v>
      </c>
      <c r="F349" s="11"/>
      <c r="G349" s="11" t="s">
        <v>215</v>
      </c>
      <c r="H349" s="11" t="s">
        <v>140</v>
      </c>
      <c r="I349" s="11" t="s">
        <v>140</v>
      </c>
      <c r="J349" s="11"/>
    </row>
    <row r="350" spans="1:10" ht="12.75" customHeight="1">
      <c r="A350" s="35"/>
      <c r="B350" s="61"/>
      <c r="C350" s="37"/>
      <c r="D350" s="37"/>
      <c r="E350" s="37"/>
      <c r="F350" s="37"/>
      <c r="G350" s="37"/>
      <c r="H350" s="37"/>
      <c r="I350" s="37"/>
      <c r="J350" s="37"/>
    </row>
    <row r="351" spans="1:10" ht="15.75">
      <c r="A351" s="42">
        <v>80110</v>
      </c>
      <c r="B351" s="43" t="s">
        <v>49</v>
      </c>
      <c r="C351" s="25">
        <f>SUM(C353,C362,C374)</f>
        <v>11139800</v>
      </c>
      <c r="D351" s="25">
        <f>SUM(D353,D362,D374)</f>
        <v>9271186</v>
      </c>
      <c r="E351" s="25">
        <f>SUM(E353,E362,E374)</f>
        <v>6758083.58</v>
      </c>
      <c r="F351" s="44">
        <f>SUM(E351/D351)*100</f>
        <v>72.89340953789515</v>
      </c>
      <c r="G351" s="25">
        <f>SUM(G353,G362,G374)</f>
        <v>9155696.48</v>
      </c>
      <c r="H351" s="25">
        <f>SUM(H353,H362,H374)</f>
        <v>15953678</v>
      </c>
      <c r="I351" s="25">
        <f>SUM(I353,I362,I374)</f>
        <v>15829328</v>
      </c>
      <c r="J351" s="44">
        <f>SUM(I351/G351)*100</f>
        <v>172.89048446044598</v>
      </c>
    </row>
    <row r="352" spans="1:10" ht="12.75" customHeight="1">
      <c r="A352" s="14"/>
      <c r="B352" s="14"/>
      <c r="C352" s="45"/>
      <c r="D352" s="45"/>
      <c r="E352" s="45"/>
      <c r="F352" s="45"/>
      <c r="G352" s="45"/>
      <c r="H352" s="45"/>
      <c r="I352" s="45"/>
      <c r="J352" s="45"/>
    </row>
    <row r="353" spans="1:10" ht="15.75">
      <c r="A353" s="14"/>
      <c r="B353" s="73" t="s">
        <v>83</v>
      </c>
      <c r="C353" s="27">
        <f>8348344+10230+339331-50000-54000</f>
        <v>8593905</v>
      </c>
      <c r="D353" s="27">
        <v>8494927</v>
      </c>
      <c r="E353" s="27">
        <v>6174870.24</v>
      </c>
      <c r="F353" s="166">
        <f>SUM(E353/D353)*100</f>
        <v>72.68891468990846</v>
      </c>
      <c r="G353" s="27">
        <v>8494927</v>
      </c>
      <c r="H353" s="27">
        <f>8517364+435294+34320</f>
        <v>8986978</v>
      </c>
      <c r="I353" s="27">
        <f>8517364+435294+34320-4000-90350</f>
        <v>8892628</v>
      </c>
      <c r="J353" s="166">
        <f>SUM(I353/G353)*100</f>
        <v>104.68162940069996</v>
      </c>
    </row>
    <row r="354" spans="1:10" ht="15.75">
      <c r="A354" s="14"/>
      <c r="B354" s="75" t="s">
        <v>102</v>
      </c>
      <c r="C354" s="27"/>
      <c r="D354" s="27"/>
      <c r="E354" s="27"/>
      <c r="F354" s="27"/>
      <c r="G354" s="27"/>
      <c r="H354" s="27"/>
      <c r="I354" s="27"/>
      <c r="J354" s="27"/>
    </row>
    <row r="355" spans="1:10" ht="15.75">
      <c r="A355" s="14"/>
      <c r="B355" s="28" t="s">
        <v>80</v>
      </c>
      <c r="C355" s="31">
        <f>6983251+339331-54000-50000</f>
        <v>7218582</v>
      </c>
      <c r="D355" s="31">
        <v>7044316</v>
      </c>
      <c r="E355" s="31">
        <v>5157928.11</v>
      </c>
      <c r="F355" s="30">
        <f aca="true" t="shared" si="8" ref="F355:F360">SUM(E355/D355)*100</f>
        <v>73.22113474182589</v>
      </c>
      <c r="G355" s="31">
        <v>7044316</v>
      </c>
      <c r="H355" s="31">
        <f>7150761+435294</f>
        <v>7586055</v>
      </c>
      <c r="I355" s="31">
        <f>7150761+435294</f>
        <v>7586055</v>
      </c>
      <c r="J355" s="30">
        <f aca="true" t="shared" si="9" ref="J355:J360">SUM(I355/G355)*100</f>
        <v>107.69044148502141</v>
      </c>
    </row>
    <row r="356" spans="1:10" ht="15.75">
      <c r="A356" s="14"/>
      <c r="B356" s="28" t="s">
        <v>51</v>
      </c>
      <c r="C356" s="31">
        <f>40000+4000</f>
        <v>44000</v>
      </c>
      <c r="D356" s="31">
        <f>40000+4000</f>
        <v>44000</v>
      </c>
      <c r="E356" s="31">
        <v>20661</v>
      </c>
      <c r="F356" s="30">
        <f t="shared" si="8"/>
        <v>46.956818181818186</v>
      </c>
      <c r="G356" s="31">
        <v>44000</v>
      </c>
      <c r="H356" s="31">
        <v>34320</v>
      </c>
      <c r="I356" s="31">
        <f>34320-4000</f>
        <v>30320</v>
      </c>
      <c r="J356" s="30">
        <f t="shared" si="9"/>
        <v>68.9090909090909</v>
      </c>
    </row>
    <row r="357" spans="1:10" ht="30.75">
      <c r="A357" s="14"/>
      <c r="B357" s="47" t="s">
        <v>308</v>
      </c>
      <c r="C357" s="31">
        <v>4008</v>
      </c>
      <c r="D357" s="31">
        <v>4008</v>
      </c>
      <c r="E357" s="31">
        <v>4008</v>
      </c>
      <c r="F357" s="30">
        <f t="shared" si="8"/>
        <v>100</v>
      </c>
      <c r="G357" s="31">
        <v>4008</v>
      </c>
      <c r="H357" s="31">
        <v>0</v>
      </c>
      <c r="I357" s="31">
        <v>0</v>
      </c>
      <c r="J357" s="30">
        <f t="shared" si="9"/>
        <v>0</v>
      </c>
    </row>
    <row r="358" spans="1:10" ht="30.75">
      <c r="A358" s="14"/>
      <c r="B358" s="47" t="s">
        <v>309</v>
      </c>
      <c r="C358" s="31">
        <v>3586</v>
      </c>
      <c r="D358" s="31">
        <v>3586</v>
      </c>
      <c r="E358" s="31">
        <v>3586</v>
      </c>
      <c r="F358" s="168">
        <f t="shared" si="8"/>
        <v>100</v>
      </c>
      <c r="G358" s="31">
        <v>3586</v>
      </c>
      <c r="H358" s="31">
        <v>0</v>
      </c>
      <c r="I358" s="31">
        <v>0</v>
      </c>
      <c r="J358" s="168">
        <f t="shared" si="9"/>
        <v>0</v>
      </c>
    </row>
    <row r="359" spans="1:10" ht="30.75">
      <c r="A359" s="14"/>
      <c r="B359" s="47" t="s">
        <v>310</v>
      </c>
      <c r="C359" s="31">
        <v>2004</v>
      </c>
      <c r="D359" s="31">
        <v>2004</v>
      </c>
      <c r="E359" s="31">
        <v>2004</v>
      </c>
      <c r="F359" s="30">
        <f t="shared" si="8"/>
        <v>100</v>
      </c>
      <c r="G359" s="31">
        <v>2004</v>
      </c>
      <c r="H359" s="31">
        <v>0</v>
      </c>
      <c r="I359" s="31">
        <v>0</v>
      </c>
      <c r="J359" s="30">
        <f t="shared" si="9"/>
        <v>0</v>
      </c>
    </row>
    <row r="360" spans="1:10" ht="30.75">
      <c r="A360" s="14"/>
      <c r="B360" s="89" t="s">
        <v>311</v>
      </c>
      <c r="C360" s="77">
        <v>632</v>
      </c>
      <c r="D360" s="77">
        <v>632</v>
      </c>
      <c r="E360" s="77">
        <v>632</v>
      </c>
      <c r="F360" s="30">
        <f t="shared" si="8"/>
        <v>100</v>
      </c>
      <c r="G360" s="77">
        <v>632</v>
      </c>
      <c r="H360" s="77">
        <v>0</v>
      </c>
      <c r="I360" s="77">
        <v>0</v>
      </c>
      <c r="J360" s="30">
        <f t="shared" si="9"/>
        <v>0</v>
      </c>
    </row>
    <row r="361" spans="1:10" ht="12.75" customHeight="1">
      <c r="A361" s="14"/>
      <c r="B361" s="14"/>
      <c r="C361" s="138"/>
      <c r="D361" s="138"/>
      <c r="E361" s="138"/>
      <c r="F361" s="138"/>
      <c r="G361" s="138"/>
      <c r="H361" s="138"/>
      <c r="I361" s="138"/>
      <c r="J361" s="138"/>
    </row>
    <row r="362" spans="1:10" ht="15.75">
      <c r="A362" s="14"/>
      <c r="B362" s="75" t="s">
        <v>84</v>
      </c>
      <c r="C362" s="27">
        <f>SUM(C364:C372)</f>
        <v>106801</v>
      </c>
      <c r="D362" s="27">
        <f>SUM(D364:D372)</f>
        <v>101259</v>
      </c>
      <c r="E362" s="27">
        <f>SUM(E364:E372)</f>
        <v>14261.029999999999</v>
      </c>
      <c r="F362" s="166">
        <f>SUM(E362/D362)*100</f>
        <v>14.083716015366536</v>
      </c>
      <c r="G362" s="27">
        <f>SUM(G364:G372)</f>
        <v>16817.17</v>
      </c>
      <c r="H362" s="27">
        <f>SUM(H364:H372)</f>
        <v>110700</v>
      </c>
      <c r="I362" s="27">
        <f>SUM(I364:I372)</f>
        <v>80700</v>
      </c>
      <c r="J362" s="166">
        <f>SUM(I362/G362)*100</f>
        <v>479.86670765652013</v>
      </c>
    </row>
    <row r="363" spans="1:10" ht="15.75">
      <c r="A363" s="14"/>
      <c r="B363" s="75" t="s">
        <v>3</v>
      </c>
      <c r="C363" s="138"/>
      <c r="D363" s="138"/>
      <c r="E363" s="138"/>
      <c r="F363" s="138"/>
      <c r="G363" s="138"/>
      <c r="H363" s="138"/>
      <c r="I363" s="138"/>
      <c r="J363" s="138"/>
    </row>
    <row r="364" spans="1:10" ht="45.75">
      <c r="A364" s="14"/>
      <c r="B364" s="47" t="s">
        <v>380</v>
      </c>
      <c r="C364" s="31">
        <f>141600-30000-50000</f>
        <v>61600</v>
      </c>
      <c r="D364" s="31">
        <v>54000</v>
      </c>
      <c r="E364" s="31">
        <v>0</v>
      </c>
      <c r="F364" s="30">
        <f>SUM(E364/D364)*100</f>
        <v>0</v>
      </c>
      <c r="G364" s="31">
        <v>0</v>
      </c>
      <c r="H364" s="31">
        <v>73400</v>
      </c>
      <c r="I364" s="31">
        <f>73400-30000</f>
        <v>43400</v>
      </c>
      <c r="J364" s="30">
        <v>0</v>
      </c>
    </row>
    <row r="365" spans="1:10" ht="15.75">
      <c r="A365" s="14"/>
      <c r="B365" s="48" t="s">
        <v>285</v>
      </c>
      <c r="C365" s="49">
        <v>6000</v>
      </c>
      <c r="D365" s="49">
        <v>6000</v>
      </c>
      <c r="E365" s="49">
        <v>4867.17</v>
      </c>
      <c r="F365" s="30">
        <f>SUM(E365/D365)*100</f>
        <v>81.1195</v>
      </c>
      <c r="G365" s="49">
        <v>4867.17</v>
      </c>
      <c r="H365" s="49">
        <v>6500</v>
      </c>
      <c r="I365" s="49">
        <v>6500</v>
      </c>
      <c r="J365" s="30">
        <f>SUM(I365/G365)*100</f>
        <v>133.54783169685876</v>
      </c>
    </row>
    <row r="366" spans="1:10" ht="60.75">
      <c r="A366" s="14"/>
      <c r="B366" s="89" t="s">
        <v>317</v>
      </c>
      <c r="C366" s="77">
        <v>750</v>
      </c>
      <c r="D366" s="77">
        <v>750</v>
      </c>
      <c r="E366" s="77">
        <v>393.86</v>
      </c>
      <c r="F366" s="30">
        <f aca="true" t="shared" si="10" ref="F366:F372">SUM(E366/D366)*100</f>
        <v>52.51466666666666</v>
      </c>
      <c r="G366" s="77">
        <v>450</v>
      </c>
      <c r="H366" s="77">
        <v>800</v>
      </c>
      <c r="I366" s="77">
        <v>800</v>
      </c>
      <c r="J366" s="30">
        <f>SUM(I366/G366)*100</f>
        <v>177.77777777777777</v>
      </c>
    </row>
    <row r="367" spans="1:10" ht="30.75">
      <c r="A367" s="51"/>
      <c r="B367" s="89" t="s">
        <v>297</v>
      </c>
      <c r="C367" s="72">
        <f>17500-7500</f>
        <v>10000</v>
      </c>
      <c r="D367" s="72">
        <v>558</v>
      </c>
      <c r="E367" s="72">
        <v>0</v>
      </c>
      <c r="F367" s="30">
        <f t="shared" si="10"/>
        <v>0</v>
      </c>
      <c r="G367" s="72">
        <v>0</v>
      </c>
      <c r="H367" s="72">
        <v>10000</v>
      </c>
      <c r="I367" s="72">
        <v>10000</v>
      </c>
      <c r="J367" s="30">
        <v>0</v>
      </c>
    </row>
    <row r="368" spans="1:10" ht="30">
      <c r="A368" s="51"/>
      <c r="B368" s="70" t="s">
        <v>191</v>
      </c>
      <c r="C368" s="72">
        <v>0</v>
      </c>
      <c r="D368" s="72">
        <v>2500</v>
      </c>
      <c r="E368" s="72">
        <v>0</v>
      </c>
      <c r="F368" s="168">
        <f t="shared" si="10"/>
        <v>0</v>
      </c>
      <c r="G368" s="72">
        <v>2500</v>
      </c>
      <c r="H368" s="72">
        <v>0</v>
      </c>
      <c r="I368" s="72">
        <v>0</v>
      </c>
      <c r="J368" s="168">
        <v>0</v>
      </c>
    </row>
    <row r="369" spans="1:10" ht="15.75">
      <c r="A369" s="51"/>
      <c r="B369" s="71" t="s">
        <v>312</v>
      </c>
      <c r="C369" s="72">
        <v>0</v>
      </c>
      <c r="D369" s="72">
        <v>9000</v>
      </c>
      <c r="E369" s="72">
        <v>9000</v>
      </c>
      <c r="F369" s="167">
        <f t="shared" si="10"/>
        <v>100</v>
      </c>
      <c r="G369" s="72">
        <v>9000</v>
      </c>
      <c r="H369" s="72">
        <v>0</v>
      </c>
      <c r="I369" s="72">
        <v>0</v>
      </c>
      <c r="J369" s="167">
        <f>SUM(I369/G369)*100</f>
        <v>0</v>
      </c>
    </row>
    <row r="370" spans="1:10" ht="15.75">
      <c r="A370" s="51"/>
      <c r="B370" s="115" t="s">
        <v>107</v>
      </c>
      <c r="C370" s="57"/>
      <c r="D370" s="57"/>
      <c r="E370" s="57"/>
      <c r="F370" s="57"/>
      <c r="G370" s="57"/>
      <c r="H370" s="57"/>
      <c r="I370" s="57"/>
      <c r="J370" s="57"/>
    </row>
    <row r="371" spans="1:10" ht="43.5" customHeight="1">
      <c r="A371" s="51"/>
      <c r="B371" s="62" t="s">
        <v>313</v>
      </c>
      <c r="C371" s="31">
        <f>30451-12000-5000</f>
        <v>13451</v>
      </c>
      <c r="D371" s="31">
        <f>30451-12000-5000</f>
        <v>13451</v>
      </c>
      <c r="E371" s="31">
        <v>0</v>
      </c>
      <c r="F371" s="30">
        <f t="shared" si="10"/>
        <v>0</v>
      </c>
      <c r="G371" s="31">
        <v>0</v>
      </c>
      <c r="H371" s="31">
        <v>0</v>
      </c>
      <c r="I371" s="31">
        <v>0</v>
      </c>
      <c r="J371" s="30">
        <v>0</v>
      </c>
    </row>
    <row r="372" spans="1:10" ht="30.75">
      <c r="A372" s="14"/>
      <c r="B372" s="89" t="s">
        <v>314</v>
      </c>
      <c r="C372" s="77">
        <f>50000-20000-10000-5000</f>
        <v>15000</v>
      </c>
      <c r="D372" s="77">
        <f>50000-20000-10000-5000</f>
        <v>15000</v>
      </c>
      <c r="E372" s="77">
        <v>0</v>
      </c>
      <c r="F372" s="30">
        <f t="shared" si="10"/>
        <v>0</v>
      </c>
      <c r="G372" s="77">
        <v>0</v>
      </c>
      <c r="H372" s="77">
        <v>20000</v>
      </c>
      <c r="I372" s="77">
        <v>20000</v>
      </c>
      <c r="J372" s="30">
        <v>0</v>
      </c>
    </row>
    <row r="373" spans="1:10" ht="15.75">
      <c r="A373" s="14"/>
      <c r="B373" s="61"/>
      <c r="C373" s="156"/>
      <c r="D373" s="156"/>
      <c r="E373" s="156"/>
      <c r="F373" s="156"/>
      <c r="G373" s="156"/>
      <c r="H373" s="156"/>
      <c r="I373" s="156"/>
      <c r="J373" s="156"/>
    </row>
    <row r="374" spans="1:10" ht="15.75">
      <c r="A374" s="14"/>
      <c r="B374" s="64" t="s">
        <v>131</v>
      </c>
      <c r="C374" s="65">
        <f>SUM(C376:C378)</f>
        <v>2439094</v>
      </c>
      <c r="D374" s="65">
        <f>SUM(D376:D378)</f>
        <v>675000</v>
      </c>
      <c r="E374" s="65">
        <f>SUM(E376:E378)</f>
        <v>568952.31</v>
      </c>
      <c r="F374" s="166">
        <f>SUM(E374/D374)*100</f>
        <v>84.28923111111112</v>
      </c>
      <c r="G374" s="65">
        <f>SUM(G376:G378)</f>
        <v>643952.31</v>
      </c>
      <c r="H374" s="65">
        <f>SUM(H376:H378)</f>
        <v>6856000</v>
      </c>
      <c r="I374" s="65">
        <f>SUM(I376:I378)</f>
        <v>6856000</v>
      </c>
      <c r="J374" s="166">
        <f>SUM(I374/G374)*100</f>
        <v>1064.6751154600252</v>
      </c>
    </row>
    <row r="375" spans="1:10" ht="15.75">
      <c r="A375" s="14"/>
      <c r="B375" s="64" t="s">
        <v>3</v>
      </c>
      <c r="C375" s="138"/>
      <c r="D375" s="138"/>
      <c r="E375" s="138"/>
      <c r="F375" s="138"/>
      <c r="G375" s="138"/>
      <c r="H375" s="138"/>
      <c r="I375" s="138"/>
      <c r="J375" s="138"/>
    </row>
    <row r="376" spans="1:10" ht="15.75">
      <c r="A376" s="14"/>
      <c r="B376" s="47" t="s">
        <v>316</v>
      </c>
      <c r="C376" s="31">
        <f>1800000+564094</f>
        <v>2364094</v>
      </c>
      <c r="D376" s="31">
        <v>600000</v>
      </c>
      <c r="E376" s="31">
        <v>568952.31</v>
      </c>
      <c r="F376" s="30">
        <f>SUM(E376/D376)*100</f>
        <v>94.82538500000001</v>
      </c>
      <c r="G376" s="31">
        <v>568952.31</v>
      </c>
      <c r="H376" s="31">
        <v>6850000</v>
      </c>
      <c r="I376" s="31">
        <v>6850000</v>
      </c>
      <c r="J376" s="30">
        <f>SUM(I376/G376)*100</f>
        <v>1203.967341304933</v>
      </c>
    </row>
    <row r="377" spans="1:10" ht="15.75">
      <c r="A377" s="14"/>
      <c r="B377" s="47" t="s">
        <v>318</v>
      </c>
      <c r="C377" s="31"/>
      <c r="D377" s="31">
        <v>0</v>
      </c>
      <c r="E377" s="31">
        <v>0</v>
      </c>
      <c r="F377" s="30">
        <v>0</v>
      </c>
      <c r="G377" s="31">
        <v>0</v>
      </c>
      <c r="H377" s="31">
        <v>6000</v>
      </c>
      <c r="I377" s="31">
        <v>6000</v>
      </c>
      <c r="J377" s="30">
        <v>0</v>
      </c>
    </row>
    <row r="378" spans="1:10" ht="30">
      <c r="A378" s="14"/>
      <c r="B378" s="70" t="s">
        <v>315</v>
      </c>
      <c r="C378" s="77">
        <f>500000-425000</f>
        <v>75000</v>
      </c>
      <c r="D378" s="77">
        <f>500000-425000</f>
        <v>75000</v>
      </c>
      <c r="E378" s="77">
        <v>0</v>
      </c>
      <c r="F378" s="30">
        <f>SUM(E378/D378)*100</f>
        <v>0</v>
      </c>
      <c r="G378" s="77">
        <v>75000</v>
      </c>
      <c r="H378" s="77">
        <v>0</v>
      </c>
      <c r="I378" s="77">
        <v>0</v>
      </c>
      <c r="J378" s="30">
        <v>0</v>
      </c>
    </row>
    <row r="379" spans="1:10" ht="15.75">
      <c r="A379" s="14"/>
      <c r="B379" s="68"/>
      <c r="C379" s="41"/>
      <c r="D379" s="41"/>
      <c r="E379" s="41"/>
      <c r="F379" s="41"/>
      <c r="G379" s="41"/>
      <c r="H379" s="41"/>
      <c r="I379" s="41"/>
      <c r="J379" s="41"/>
    </row>
    <row r="380" spans="1:10" s="116" customFormat="1" ht="15.75">
      <c r="A380" s="42">
        <v>80113</v>
      </c>
      <c r="B380" s="95" t="s">
        <v>90</v>
      </c>
      <c r="C380" s="25">
        <f>SUM(C382)</f>
        <v>40000</v>
      </c>
      <c r="D380" s="25">
        <f>SUM(D382)</f>
        <v>51230</v>
      </c>
      <c r="E380" s="25">
        <f>SUM(E382)</f>
        <v>29455.78</v>
      </c>
      <c r="F380" s="44">
        <f>SUM(E380/D380)*100</f>
        <v>57.49713058754635</v>
      </c>
      <c r="G380" s="25">
        <f>SUM(G382)</f>
        <v>51155.78</v>
      </c>
      <c r="H380" s="25">
        <f>SUM(H382)</f>
        <v>58000</v>
      </c>
      <c r="I380" s="25">
        <f>SUM(I382)</f>
        <v>58000</v>
      </c>
      <c r="J380" s="44">
        <f>SUM(I380/G380)*100</f>
        <v>113.37917240241475</v>
      </c>
    </row>
    <row r="381" spans="1:10" ht="15.75">
      <c r="A381" s="14"/>
      <c r="B381" s="68"/>
      <c r="C381" s="27"/>
      <c r="D381" s="27"/>
      <c r="E381" s="27"/>
      <c r="F381" s="27"/>
      <c r="G381" s="27"/>
      <c r="H381" s="27"/>
      <c r="I381" s="27"/>
      <c r="J381" s="27"/>
    </row>
    <row r="382" spans="1:10" ht="30.75">
      <c r="A382" s="14"/>
      <c r="B382" s="47" t="s">
        <v>162</v>
      </c>
      <c r="C382" s="31">
        <f>52000-12000</f>
        <v>40000</v>
      </c>
      <c r="D382" s="31">
        <v>51230</v>
      </c>
      <c r="E382" s="31">
        <v>29455.78</v>
      </c>
      <c r="F382" s="30">
        <f>SUM(E382/D382)*100</f>
        <v>57.49713058754635</v>
      </c>
      <c r="G382" s="31">
        <v>51155.78</v>
      </c>
      <c r="H382" s="31">
        <v>58000</v>
      </c>
      <c r="I382" s="31">
        <v>58000</v>
      </c>
      <c r="J382" s="30">
        <f>SUM(I382/G382)*100</f>
        <v>113.37917240241475</v>
      </c>
    </row>
    <row r="383" spans="1:10" ht="12.75" customHeight="1">
      <c r="A383" s="14"/>
      <c r="B383" s="14"/>
      <c r="C383" s="41"/>
      <c r="D383" s="41"/>
      <c r="E383" s="41"/>
      <c r="F383" s="41"/>
      <c r="G383" s="41"/>
      <c r="H383" s="41"/>
      <c r="I383" s="41"/>
      <c r="J383" s="41"/>
    </row>
    <row r="384" spans="1:10" ht="31.5">
      <c r="A384" s="42">
        <v>80114</v>
      </c>
      <c r="B384" s="69" t="s">
        <v>52</v>
      </c>
      <c r="C384" s="25">
        <f>SUM(C386)</f>
        <v>782042</v>
      </c>
      <c r="D384" s="25">
        <f>SUM(D386)</f>
        <v>782070</v>
      </c>
      <c r="E384" s="25">
        <f>SUM(E386)</f>
        <v>471207.49</v>
      </c>
      <c r="F384" s="44">
        <f>SUM(E384/D384)*100</f>
        <v>60.251318935645145</v>
      </c>
      <c r="G384" s="25">
        <f>SUM(G386)</f>
        <v>662070</v>
      </c>
      <c r="H384" s="25">
        <f>SUM(H386)</f>
        <v>1020905</v>
      </c>
      <c r="I384" s="25">
        <f>SUM(I386)</f>
        <v>706105</v>
      </c>
      <c r="J384" s="44">
        <f>SUM(I384/G384)*100</f>
        <v>106.65110939930823</v>
      </c>
    </row>
    <row r="385" spans="1:10" ht="15.75">
      <c r="A385" s="14"/>
      <c r="B385" s="14"/>
      <c r="C385" s="27"/>
      <c r="D385" s="27"/>
      <c r="E385" s="27"/>
      <c r="F385" s="27"/>
      <c r="G385" s="27"/>
      <c r="H385" s="27"/>
      <c r="I385" s="27"/>
      <c r="J385" s="27"/>
    </row>
    <row r="386" spans="1:10" ht="15.75">
      <c r="A386" s="14"/>
      <c r="B386" s="46" t="s">
        <v>94</v>
      </c>
      <c r="C386" s="49">
        <f>SUM(C388:C389)</f>
        <v>782042</v>
      </c>
      <c r="D386" s="49">
        <f>SUM(D388:D389)</f>
        <v>782070</v>
      </c>
      <c r="E386" s="49">
        <f>SUM(E388:E389)</f>
        <v>471207.49</v>
      </c>
      <c r="F386" s="167">
        <f>SUM(E386/D386)*100</f>
        <v>60.251318935645145</v>
      </c>
      <c r="G386" s="49">
        <f>SUM(G388:G389)</f>
        <v>662070</v>
      </c>
      <c r="H386" s="49">
        <f>SUM(H388:H389)</f>
        <v>1020905</v>
      </c>
      <c r="I386" s="49">
        <f>SUM(I388:I389)</f>
        <v>706105</v>
      </c>
      <c r="J386" s="167">
        <f>SUM(I386/G386)*100</f>
        <v>106.65110939930823</v>
      </c>
    </row>
    <row r="387" spans="1:10" ht="15.75">
      <c r="A387" s="14"/>
      <c r="B387" s="46" t="s">
        <v>3</v>
      </c>
      <c r="C387" s="49"/>
      <c r="D387" s="49"/>
      <c r="E387" s="49"/>
      <c r="F387" s="49"/>
      <c r="G387" s="49"/>
      <c r="H387" s="49"/>
      <c r="I387" s="49"/>
      <c r="J387" s="49"/>
    </row>
    <row r="388" spans="1:10" ht="15.75">
      <c r="A388" s="14"/>
      <c r="B388" s="48" t="s">
        <v>78</v>
      </c>
      <c r="C388" s="49">
        <f>610392-30000+150000</f>
        <v>730392</v>
      </c>
      <c r="D388" s="49">
        <v>728780</v>
      </c>
      <c r="E388" s="49">
        <v>436202.67</v>
      </c>
      <c r="F388" s="167">
        <f>SUM(E388/D388)*100</f>
        <v>59.85382008287823</v>
      </c>
      <c r="G388" s="49">
        <f>728780-120000</f>
        <v>608780</v>
      </c>
      <c r="H388" s="49">
        <f>637756+331000</f>
        <v>968756</v>
      </c>
      <c r="I388" s="49">
        <f>637756+331000-300000</f>
        <v>668756</v>
      </c>
      <c r="J388" s="167">
        <f>SUM(I388/G388)*100</f>
        <v>109.85183481717533</v>
      </c>
    </row>
    <row r="389" spans="1:10" ht="15.75">
      <c r="A389" s="14"/>
      <c r="B389" s="28" t="s">
        <v>13</v>
      </c>
      <c r="C389" s="31">
        <f>51650-5000+5000</f>
        <v>51650</v>
      </c>
      <c r="D389" s="31">
        <v>53290</v>
      </c>
      <c r="E389" s="31">
        <v>35004.82</v>
      </c>
      <c r="F389" s="30">
        <f>SUM(E389/D389)*100</f>
        <v>65.68740851942204</v>
      </c>
      <c r="G389" s="31">
        <v>53290</v>
      </c>
      <c r="H389" s="31">
        <v>52149</v>
      </c>
      <c r="I389" s="31">
        <f>52149-14800</f>
        <v>37349</v>
      </c>
      <c r="J389" s="30">
        <f>SUM(I389/G389)*100</f>
        <v>70.08632013510979</v>
      </c>
    </row>
    <row r="390" spans="1:10" ht="12.75" customHeight="1">
      <c r="A390" s="14"/>
      <c r="B390" s="14"/>
      <c r="C390" s="41"/>
      <c r="D390" s="41"/>
      <c r="E390" s="41"/>
      <c r="F390" s="41"/>
      <c r="G390" s="41"/>
      <c r="H390" s="41"/>
      <c r="I390" s="41"/>
      <c r="J390" s="41"/>
    </row>
    <row r="391" spans="1:10" ht="15.75">
      <c r="A391" s="42">
        <v>80146</v>
      </c>
      <c r="B391" s="78" t="s">
        <v>53</v>
      </c>
      <c r="C391" s="25">
        <f>SUM(C393,C396:C396)</f>
        <v>193798</v>
      </c>
      <c r="D391" s="25">
        <f>SUM(D393,D396:D396)</f>
        <v>158318</v>
      </c>
      <c r="E391" s="25">
        <f>SUM(E393,E396:E396)</f>
        <v>64394.97</v>
      </c>
      <c r="F391" s="44">
        <f>SUM(E391/D391)*100</f>
        <v>40.67444636743769</v>
      </c>
      <c r="G391" s="25">
        <f>SUM(G393,G396:G396)</f>
        <v>157718</v>
      </c>
      <c r="H391" s="25">
        <f>SUM(H393,H396:H396)</f>
        <v>170151</v>
      </c>
      <c r="I391" s="25">
        <f>SUM(I393,I396:I396)</f>
        <v>170151</v>
      </c>
      <c r="J391" s="44">
        <f>SUM(I391/G391)*100</f>
        <v>107.88305710191608</v>
      </c>
    </row>
    <row r="392" spans="1:10" ht="12.75" customHeight="1">
      <c r="A392" s="14"/>
      <c r="B392" s="82"/>
      <c r="C392" s="27"/>
      <c r="D392" s="27"/>
      <c r="E392" s="27"/>
      <c r="F392" s="27"/>
      <c r="G392" s="27"/>
      <c r="H392" s="27"/>
      <c r="I392" s="27"/>
      <c r="J392" s="27"/>
    </row>
    <row r="393" spans="1:10" ht="30">
      <c r="A393" s="14"/>
      <c r="B393" s="71" t="s">
        <v>133</v>
      </c>
      <c r="C393" s="49">
        <f>159558-34240</f>
        <v>125318</v>
      </c>
      <c r="D393" s="49">
        <f>159558-34240</f>
        <v>125318</v>
      </c>
      <c r="E393" s="49">
        <v>45194.97</v>
      </c>
      <c r="F393" s="167">
        <f>SUM(E393/D393)*100</f>
        <v>36.064228602435406</v>
      </c>
      <c r="G393" s="49">
        <v>125318</v>
      </c>
      <c r="H393" s="49">
        <v>134419</v>
      </c>
      <c r="I393" s="49">
        <v>134419</v>
      </c>
      <c r="J393" s="167">
        <f>SUM(I393/G393)*100</f>
        <v>107.26232464610032</v>
      </c>
    </row>
    <row r="394" spans="1:10" ht="15.75">
      <c r="A394" s="14"/>
      <c r="B394" s="71" t="s">
        <v>3</v>
      </c>
      <c r="C394" s="49"/>
      <c r="D394" s="49"/>
      <c r="E394" s="49"/>
      <c r="F394" s="49"/>
      <c r="G394" s="49"/>
      <c r="H394" s="49"/>
      <c r="I394" s="49"/>
      <c r="J394" s="49"/>
    </row>
    <row r="395" spans="1:10" ht="15.75">
      <c r="A395" s="14"/>
      <c r="B395" s="70" t="s">
        <v>78</v>
      </c>
      <c r="C395" s="31">
        <v>3235</v>
      </c>
      <c r="D395" s="31">
        <v>2500</v>
      </c>
      <c r="E395" s="31">
        <v>0</v>
      </c>
      <c r="F395" s="30">
        <f>SUM(E395/D395)*100</f>
        <v>0</v>
      </c>
      <c r="G395" s="31">
        <v>2500</v>
      </c>
      <c r="H395" s="31">
        <v>1500</v>
      </c>
      <c r="I395" s="31">
        <v>1500</v>
      </c>
      <c r="J395" s="30">
        <f>SUM(I395/G395)*100</f>
        <v>60</v>
      </c>
    </row>
    <row r="396" spans="1:10" ht="45.75" thickBot="1">
      <c r="A396" s="43"/>
      <c r="B396" s="76" t="s">
        <v>170</v>
      </c>
      <c r="C396" s="77">
        <f>34240-10000+10000+34240</f>
        <v>68480</v>
      </c>
      <c r="D396" s="77">
        <v>33000</v>
      </c>
      <c r="E396" s="77">
        <v>19200</v>
      </c>
      <c r="F396" s="30">
        <f>SUM(E396/D396)*100</f>
        <v>58.18181818181818</v>
      </c>
      <c r="G396" s="77">
        <v>32400</v>
      </c>
      <c r="H396" s="77">
        <v>35732</v>
      </c>
      <c r="I396" s="77">
        <v>35732</v>
      </c>
      <c r="J396" s="30">
        <f>SUM(I396/G396)*100</f>
        <v>110.28395061728395</v>
      </c>
    </row>
    <row r="397" spans="1:10" ht="15.75">
      <c r="A397" s="2"/>
      <c r="B397" s="3"/>
      <c r="C397" s="4"/>
      <c r="D397" s="4"/>
      <c r="E397" s="4"/>
      <c r="F397" s="4"/>
      <c r="G397" s="4"/>
      <c r="H397" s="4"/>
      <c r="I397" s="4"/>
      <c r="J397" s="4"/>
    </row>
    <row r="398" spans="1:10" ht="15.75">
      <c r="A398" s="5" t="s">
        <v>22</v>
      </c>
      <c r="B398" s="6" t="s">
        <v>1</v>
      </c>
      <c r="C398" s="7" t="s">
        <v>120</v>
      </c>
      <c r="D398" s="7" t="s">
        <v>120</v>
      </c>
      <c r="E398" s="7" t="s">
        <v>146</v>
      </c>
      <c r="F398" s="7" t="s">
        <v>21</v>
      </c>
      <c r="G398" s="7" t="s">
        <v>211</v>
      </c>
      <c r="H398" s="7" t="s">
        <v>216</v>
      </c>
      <c r="I398" s="7" t="s">
        <v>213</v>
      </c>
      <c r="J398" s="7" t="s">
        <v>21</v>
      </c>
    </row>
    <row r="399" spans="1:10" ht="15.75">
      <c r="A399" s="5" t="s">
        <v>24</v>
      </c>
      <c r="B399" s="8"/>
      <c r="C399" s="7" t="s">
        <v>181</v>
      </c>
      <c r="D399" s="7" t="s">
        <v>210</v>
      </c>
      <c r="E399" s="7" t="s">
        <v>210</v>
      </c>
      <c r="F399" s="7" t="s">
        <v>10</v>
      </c>
      <c r="G399" s="7" t="s">
        <v>212</v>
      </c>
      <c r="H399" s="7" t="s">
        <v>217</v>
      </c>
      <c r="I399" s="7" t="s">
        <v>214</v>
      </c>
      <c r="J399" s="7" t="s">
        <v>10</v>
      </c>
    </row>
    <row r="400" spans="1:10" ht="16.5" thickBot="1">
      <c r="A400" s="9"/>
      <c r="B400" s="10"/>
      <c r="C400" s="11" t="s">
        <v>140</v>
      </c>
      <c r="D400" s="11" t="s">
        <v>140</v>
      </c>
      <c r="E400" s="11" t="s">
        <v>140</v>
      </c>
      <c r="F400" s="11"/>
      <c r="G400" s="11" t="s">
        <v>215</v>
      </c>
      <c r="H400" s="11" t="s">
        <v>140</v>
      </c>
      <c r="I400" s="11" t="s">
        <v>140</v>
      </c>
      <c r="J400" s="11"/>
    </row>
    <row r="401" spans="1:10" ht="12.75" customHeight="1">
      <c r="A401" s="14"/>
      <c r="B401" s="14"/>
      <c r="C401" s="41"/>
      <c r="D401" s="41"/>
      <c r="E401" s="41"/>
      <c r="F401" s="41"/>
      <c r="G401" s="41"/>
      <c r="H401" s="41"/>
      <c r="I401" s="41"/>
      <c r="J401" s="41"/>
    </row>
    <row r="402" spans="1:10" ht="15.75">
      <c r="A402" s="42">
        <v>80195</v>
      </c>
      <c r="B402" s="78" t="s">
        <v>26</v>
      </c>
      <c r="C402" s="25">
        <f>SUM(C404)</f>
        <v>417227</v>
      </c>
      <c r="D402" s="25">
        <f>SUM(D404)</f>
        <v>378118</v>
      </c>
      <c r="E402" s="25">
        <f>SUM(E404)</f>
        <v>302776.63</v>
      </c>
      <c r="F402" s="44">
        <f>SUM(E402/D402)*100</f>
        <v>80.0746407206216</v>
      </c>
      <c r="G402" s="25">
        <f>SUM(G404)</f>
        <v>354178.63</v>
      </c>
      <c r="H402" s="25">
        <f>SUM(H404)</f>
        <v>334523</v>
      </c>
      <c r="I402" s="25">
        <f>SUM(I404)</f>
        <v>334523</v>
      </c>
      <c r="J402" s="44">
        <f>SUM(I402/G402)*100</f>
        <v>94.45036251904865</v>
      </c>
    </row>
    <row r="403" spans="1:10" ht="12.75" customHeight="1">
      <c r="A403" s="14"/>
      <c r="B403" s="14"/>
      <c r="C403" s="45"/>
      <c r="D403" s="45"/>
      <c r="E403" s="45"/>
      <c r="F403" s="45"/>
      <c r="G403" s="45"/>
      <c r="H403" s="45"/>
      <c r="I403" s="45"/>
      <c r="J403" s="45"/>
    </row>
    <row r="404" spans="1:10" ht="14.25" customHeight="1">
      <c r="A404" s="14"/>
      <c r="B404" s="14" t="s">
        <v>126</v>
      </c>
      <c r="C404" s="27">
        <f>SUM(C406:C411)</f>
        <v>417227</v>
      </c>
      <c r="D404" s="27">
        <f>SUM(D406:D411)</f>
        <v>378118</v>
      </c>
      <c r="E404" s="27">
        <f>SUM(E406:E411)</f>
        <v>302776.63</v>
      </c>
      <c r="F404" s="166">
        <f>SUM(E404/D404)*100</f>
        <v>80.0746407206216</v>
      </c>
      <c r="G404" s="27">
        <f>SUM(G406:G411)</f>
        <v>354178.63</v>
      </c>
      <c r="H404" s="27">
        <f>SUM(H406:H411)</f>
        <v>334523</v>
      </c>
      <c r="I404" s="27">
        <f>SUM(I406:I411)</f>
        <v>334523</v>
      </c>
      <c r="J404" s="166">
        <f>SUM(I404/G404)*100</f>
        <v>94.45036251904865</v>
      </c>
    </row>
    <row r="405" spans="1:10" ht="14.25" customHeight="1">
      <c r="A405" s="14"/>
      <c r="B405" s="14" t="s">
        <v>3</v>
      </c>
      <c r="C405" s="27"/>
      <c r="D405" s="27"/>
      <c r="E405" s="27"/>
      <c r="F405" s="27"/>
      <c r="G405" s="27"/>
      <c r="H405" s="27"/>
      <c r="I405" s="27"/>
      <c r="J405" s="27"/>
    </row>
    <row r="406" spans="1:10" ht="30.75">
      <c r="A406" s="14"/>
      <c r="B406" s="47" t="s">
        <v>370</v>
      </c>
      <c r="C406" s="31">
        <v>1260</v>
      </c>
      <c r="D406" s="31">
        <v>1392</v>
      </c>
      <c r="E406" s="31">
        <v>840</v>
      </c>
      <c r="F406" s="30">
        <f aca="true" t="shared" si="11" ref="F406:F411">SUM(E406/D406)*100</f>
        <v>60.3448275862069</v>
      </c>
      <c r="G406" s="31">
        <v>1392</v>
      </c>
      <c r="H406" s="31">
        <v>480</v>
      </c>
      <c r="I406" s="31">
        <v>480</v>
      </c>
      <c r="J406" s="30">
        <f aca="true" t="shared" si="12" ref="J406:J411">SUM(I406/G406)*100</f>
        <v>34.48275862068966</v>
      </c>
    </row>
    <row r="407" spans="1:10" ht="34.5" customHeight="1">
      <c r="A407" s="14"/>
      <c r="B407" s="70" t="s">
        <v>371</v>
      </c>
      <c r="C407" s="31">
        <f>312726</f>
        <v>312726</v>
      </c>
      <c r="D407" s="31">
        <v>260335</v>
      </c>
      <c r="E407" s="31">
        <v>260335</v>
      </c>
      <c r="F407" s="30">
        <f t="shared" si="11"/>
        <v>100</v>
      </c>
      <c r="G407" s="31">
        <v>260335</v>
      </c>
      <c r="H407" s="31">
        <v>278043</v>
      </c>
      <c r="I407" s="31">
        <v>278043</v>
      </c>
      <c r="J407" s="30">
        <f t="shared" si="12"/>
        <v>106.8020051088021</v>
      </c>
    </row>
    <row r="408" spans="1:10" ht="30">
      <c r="A408" s="14"/>
      <c r="B408" s="76" t="s">
        <v>134</v>
      </c>
      <c r="C408" s="77">
        <v>52391</v>
      </c>
      <c r="D408" s="77">
        <v>52391</v>
      </c>
      <c r="E408" s="77">
        <v>36624.63</v>
      </c>
      <c r="F408" s="30">
        <f t="shared" si="11"/>
        <v>69.90633887499762</v>
      </c>
      <c r="G408" s="77">
        <v>36624.63</v>
      </c>
      <c r="H408" s="77">
        <v>0</v>
      </c>
      <c r="I408" s="77">
        <v>0</v>
      </c>
      <c r="J408" s="30">
        <f t="shared" si="12"/>
        <v>0</v>
      </c>
    </row>
    <row r="409" spans="1:10" ht="45">
      <c r="A409" s="14"/>
      <c r="B409" s="76" t="s">
        <v>372</v>
      </c>
      <c r="C409" s="77">
        <v>0</v>
      </c>
      <c r="D409" s="77">
        <v>13150</v>
      </c>
      <c r="E409" s="77">
        <v>4977</v>
      </c>
      <c r="F409" s="30">
        <f t="shared" si="11"/>
        <v>37.84790874524715</v>
      </c>
      <c r="G409" s="77">
        <v>4977</v>
      </c>
      <c r="H409" s="77">
        <v>0</v>
      </c>
      <c r="I409" s="77">
        <v>0</v>
      </c>
      <c r="J409" s="30">
        <f t="shared" si="12"/>
        <v>0</v>
      </c>
    </row>
    <row r="410" spans="1:10" ht="45">
      <c r="A410" s="14"/>
      <c r="B410" s="76" t="s">
        <v>373</v>
      </c>
      <c r="C410" s="77">
        <v>40000</v>
      </c>
      <c r="D410" s="77">
        <v>40000</v>
      </c>
      <c r="E410" s="77">
        <v>0</v>
      </c>
      <c r="F410" s="30">
        <f t="shared" si="11"/>
        <v>0</v>
      </c>
      <c r="G410" s="77">
        <v>40000</v>
      </c>
      <c r="H410" s="77">
        <v>45000</v>
      </c>
      <c r="I410" s="77">
        <v>45000</v>
      </c>
      <c r="J410" s="30">
        <f t="shared" si="12"/>
        <v>112.5</v>
      </c>
    </row>
    <row r="411" spans="1:10" ht="30">
      <c r="A411" s="43"/>
      <c r="B411" s="76" t="s">
        <v>374</v>
      </c>
      <c r="C411" s="77">
        <v>10850</v>
      </c>
      <c r="D411" s="77">
        <v>10850</v>
      </c>
      <c r="E411" s="77">
        <v>0</v>
      </c>
      <c r="F411" s="30">
        <f t="shared" si="11"/>
        <v>0</v>
      </c>
      <c r="G411" s="77">
        <v>10850</v>
      </c>
      <c r="H411" s="77">
        <v>11000</v>
      </c>
      <c r="I411" s="77">
        <v>11000</v>
      </c>
      <c r="J411" s="30">
        <f t="shared" si="12"/>
        <v>101.38248847926268</v>
      </c>
    </row>
    <row r="412" spans="1:10" ht="15.75">
      <c r="A412" s="131"/>
      <c r="B412" s="143"/>
      <c r="C412" s="144"/>
      <c r="D412" s="144"/>
      <c r="E412" s="144"/>
      <c r="F412" s="144"/>
      <c r="G412" s="144"/>
      <c r="H412" s="144"/>
      <c r="I412" s="144"/>
      <c r="J412" s="144"/>
    </row>
    <row r="413" spans="1:10" ht="12.75" customHeight="1">
      <c r="A413" s="35"/>
      <c r="B413" s="35"/>
      <c r="C413" s="37"/>
      <c r="D413" s="37"/>
      <c r="E413" s="37"/>
      <c r="F413" s="37"/>
      <c r="G413" s="37"/>
      <c r="H413" s="37"/>
      <c r="I413" s="37"/>
      <c r="J413" s="37"/>
    </row>
    <row r="414" spans="1:10" ht="16.5" thickBot="1">
      <c r="A414" s="38">
        <v>851</v>
      </c>
      <c r="B414" s="107" t="s">
        <v>54</v>
      </c>
      <c r="C414" s="40">
        <f>SUM(C416,C422,C430)</f>
        <v>822740</v>
      </c>
      <c r="D414" s="40">
        <f>SUM(D416,D422,D430)</f>
        <v>821369</v>
      </c>
      <c r="E414" s="40">
        <f>SUM(E416,E422,E430)</f>
        <v>660085.11</v>
      </c>
      <c r="F414" s="19">
        <f>SUM(E414/D414)*100</f>
        <v>80.36401544251122</v>
      </c>
      <c r="G414" s="40">
        <f>SUM(G416,G422,G430)</f>
        <v>820460</v>
      </c>
      <c r="H414" s="40">
        <f>SUM(H416,H422,H430)</f>
        <v>853380</v>
      </c>
      <c r="I414" s="40">
        <f>SUM(I416,I422,I430)</f>
        <v>832900</v>
      </c>
      <c r="J414" s="19">
        <f>SUM(I414/G414)*100</f>
        <v>101.51622260683031</v>
      </c>
    </row>
    <row r="415" spans="1:10" ht="16.5" thickTop="1">
      <c r="A415" s="14"/>
      <c r="B415" s="51"/>
      <c r="C415" s="27"/>
      <c r="D415" s="27"/>
      <c r="E415" s="27"/>
      <c r="F415" s="27"/>
      <c r="G415" s="27"/>
      <c r="H415" s="27"/>
      <c r="I415" s="27"/>
      <c r="J415" s="27"/>
    </row>
    <row r="416" spans="1:10" ht="15.75">
      <c r="A416" s="42">
        <v>85153</v>
      </c>
      <c r="B416" s="117" t="s">
        <v>96</v>
      </c>
      <c r="C416" s="25">
        <f>SUM(C418)</f>
        <v>10000</v>
      </c>
      <c r="D416" s="25">
        <f>SUM(D418)</f>
        <v>10000</v>
      </c>
      <c r="E416" s="25">
        <f>SUM(E418)</f>
        <v>4710</v>
      </c>
      <c r="F416" s="44">
        <f>SUM(E416/D416)*100</f>
        <v>47.099999999999994</v>
      </c>
      <c r="G416" s="25">
        <f>SUM(G418)</f>
        <v>9160</v>
      </c>
      <c r="H416" s="25">
        <f>SUM(H418)</f>
        <v>15480</v>
      </c>
      <c r="I416" s="25">
        <f>SUM(I418)</f>
        <v>10000</v>
      </c>
      <c r="J416" s="44">
        <f>SUM(I416/G416)*100</f>
        <v>109.1703056768559</v>
      </c>
    </row>
    <row r="417" spans="1:10" ht="15.75">
      <c r="A417" s="14"/>
      <c r="B417" s="51"/>
      <c r="C417" s="27"/>
      <c r="D417" s="27"/>
      <c r="E417" s="27"/>
      <c r="F417" s="27"/>
      <c r="G417" s="27"/>
      <c r="H417" s="27"/>
      <c r="I417" s="27"/>
      <c r="J417" s="27"/>
    </row>
    <row r="418" spans="1:10" ht="15.75">
      <c r="A418" s="14"/>
      <c r="B418" s="67" t="s">
        <v>173</v>
      </c>
      <c r="C418" s="31">
        <f>20000-10000</f>
        <v>10000</v>
      </c>
      <c r="D418" s="31">
        <f>20000-10000</f>
        <v>10000</v>
      </c>
      <c r="E418" s="31">
        <v>4710</v>
      </c>
      <c r="F418" s="30">
        <f>SUM(E418/D418)*100</f>
        <v>47.099999999999994</v>
      </c>
      <c r="G418" s="31">
        <v>9160</v>
      </c>
      <c r="H418" s="31">
        <v>15480</v>
      </c>
      <c r="I418" s="31">
        <f>15480-5480</f>
        <v>10000</v>
      </c>
      <c r="J418" s="30">
        <f>SUM(I418/G418)*100</f>
        <v>109.1703056768559</v>
      </c>
    </row>
    <row r="419" spans="1:10" ht="15.75">
      <c r="A419" s="14"/>
      <c r="B419" s="48" t="s">
        <v>102</v>
      </c>
      <c r="C419" s="49"/>
      <c r="D419" s="49"/>
      <c r="E419" s="49"/>
      <c r="F419" s="49"/>
      <c r="G419" s="49"/>
      <c r="H419" s="49"/>
      <c r="I419" s="49"/>
      <c r="J419" s="49"/>
    </row>
    <row r="420" spans="1:10" ht="15.75">
      <c r="A420" s="14"/>
      <c r="B420" s="48" t="s">
        <v>89</v>
      </c>
      <c r="C420" s="49">
        <f>20000-10000</f>
        <v>10000</v>
      </c>
      <c r="D420" s="49">
        <v>9160</v>
      </c>
      <c r="E420" s="49">
        <v>4710</v>
      </c>
      <c r="F420" s="167">
        <f>SUM(E420/D420)*100</f>
        <v>51.419213973799124</v>
      </c>
      <c r="G420" s="49">
        <v>9160</v>
      </c>
      <c r="H420" s="49">
        <v>15480</v>
      </c>
      <c r="I420" s="49">
        <f>15480-5480</f>
        <v>10000</v>
      </c>
      <c r="J420" s="167">
        <f>SUM(I420/G420)*100</f>
        <v>109.1703056768559</v>
      </c>
    </row>
    <row r="421" spans="1:10" ht="15.75">
      <c r="A421" s="14"/>
      <c r="B421" s="109"/>
      <c r="C421" s="27"/>
      <c r="D421" s="27"/>
      <c r="E421" s="27"/>
      <c r="F421" s="27"/>
      <c r="G421" s="27"/>
      <c r="H421" s="27"/>
      <c r="I421" s="27"/>
      <c r="J421" s="27"/>
    </row>
    <row r="422" spans="1:10" ht="15.75">
      <c r="A422" s="42">
        <v>85154</v>
      </c>
      <c r="B422" s="108" t="s">
        <v>55</v>
      </c>
      <c r="C422" s="27">
        <f>SUM(C424)</f>
        <v>740000</v>
      </c>
      <c r="D422" s="27">
        <f>SUM(D424)</f>
        <v>742500</v>
      </c>
      <c r="E422" s="27">
        <f>SUM(E424)</f>
        <v>613675.11</v>
      </c>
      <c r="F422" s="44">
        <f>SUM(E422/D422)*100</f>
        <v>82.64984646464646</v>
      </c>
      <c r="G422" s="27">
        <f>SUM(G424)</f>
        <v>742500</v>
      </c>
      <c r="H422" s="27">
        <f>SUM(H424)</f>
        <v>760000</v>
      </c>
      <c r="I422" s="27">
        <f>SUM(I424)</f>
        <v>750000</v>
      </c>
      <c r="J422" s="44">
        <f>SUM(I422/G422)*100</f>
        <v>101.01010101010101</v>
      </c>
    </row>
    <row r="423" spans="1:10" ht="12.75" customHeight="1">
      <c r="A423" s="14"/>
      <c r="B423" s="35"/>
      <c r="C423" s="45"/>
      <c r="D423" s="45"/>
      <c r="E423" s="45"/>
      <c r="F423" s="45"/>
      <c r="G423" s="45"/>
      <c r="H423" s="45"/>
      <c r="I423" s="45"/>
      <c r="J423" s="45"/>
    </row>
    <row r="424" spans="1:10" ht="30.75">
      <c r="A424" s="14"/>
      <c r="B424" s="48" t="s">
        <v>5</v>
      </c>
      <c r="C424" s="49">
        <f>750000-10000</f>
        <v>740000</v>
      </c>
      <c r="D424" s="49">
        <v>742500</v>
      </c>
      <c r="E424" s="49">
        <v>613675.11</v>
      </c>
      <c r="F424" s="167">
        <f>SUM(E424/D424)*100</f>
        <v>82.64984646464646</v>
      </c>
      <c r="G424" s="49">
        <v>742500</v>
      </c>
      <c r="H424" s="49">
        <v>760000</v>
      </c>
      <c r="I424" s="49">
        <f>760000-10000</f>
        <v>750000</v>
      </c>
      <c r="J424" s="167">
        <f>SUM(I424/G424)*100</f>
        <v>101.01010101010101</v>
      </c>
    </row>
    <row r="425" spans="1:10" ht="15.75">
      <c r="A425" s="14"/>
      <c r="B425" s="48" t="s">
        <v>102</v>
      </c>
      <c r="C425" s="49"/>
      <c r="D425" s="49"/>
      <c r="E425" s="49"/>
      <c r="F425" s="49"/>
      <c r="G425" s="49"/>
      <c r="H425" s="49"/>
      <c r="I425" s="49"/>
      <c r="J425" s="49"/>
    </row>
    <row r="426" spans="1:10" ht="15.75">
      <c r="A426" s="14"/>
      <c r="B426" s="48" t="s">
        <v>89</v>
      </c>
      <c r="C426" s="49">
        <v>40000</v>
      </c>
      <c r="D426" s="49">
        <v>159487</v>
      </c>
      <c r="E426" s="49">
        <v>105958.3</v>
      </c>
      <c r="F426" s="167">
        <f>SUM(E426/D426)*100</f>
        <v>66.43695097406058</v>
      </c>
      <c r="G426" s="49">
        <v>159487</v>
      </c>
      <c r="H426" s="49">
        <v>35000</v>
      </c>
      <c r="I426" s="49">
        <v>35000</v>
      </c>
      <c r="J426" s="167">
        <f>SUM(I426/G426)*100</f>
        <v>21.945362317931867</v>
      </c>
    </row>
    <row r="427" spans="1:10" ht="15.75">
      <c r="A427" s="14"/>
      <c r="B427" s="48" t="s">
        <v>101</v>
      </c>
      <c r="C427" s="49">
        <v>70000</v>
      </c>
      <c r="D427" s="49">
        <v>70000</v>
      </c>
      <c r="E427" s="49">
        <v>70000</v>
      </c>
      <c r="F427" s="167">
        <f>SUM(E427/D427)*100</f>
        <v>100</v>
      </c>
      <c r="G427" s="49">
        <v>70000</v>
      </c>
      <c r="H427" s="49">
        <v>95000</v>
      </c>
      <c r="I427" s="49">
        <f>95000-10000</f>
        <v>85000</v>
      </c>
      <c r="J427" s="167">
        <f>SUM(I427/G427)*100</f>
        <v>121.42857142857142</v>
      </c>
    </row>
    <row r="428" spans="1:10" ht="15" customHeight="1">
      <c r="A428" s="14"/>
      <c r="B428" s="62" t="s">
        <v>19</v>
      </c>
      <c r="C428" s="31">
        <f>150000-10000</f>
        <v>140000</v>
      </c>
      <c r="D428" s="31">
        <v>171400</v>
      </c>
      <c r="E428" s="31">
        <v>171400</v>
      </c>
      <c r="F428" s="30">
        <f>SUM(E428/D428)*100</f>
        <v>100</v>
      </c>
      <c r="G428" s="31">
        <v>171400</v>
      </c>
      <c r="H428" s="31">
        <v>180000</v>
      </c>
      <c r="I428" s="31">
        <v>180000</v>
      </c>
      <c r="J428" s="30">
        <f>SUM(I428/G428)*100</f>
        <v>105.01750291715285</v>
      </c>
    </row>
    <row r="429" spans="1:10" ht="12.75" customHeight="1">
      <c r="A429" s="14"/>
      <c r="B429" s="118"/>
      <c r="C429" s="45"/>
      <c r="D429" s="45"/>
      <c r="E429" s="45"/>
      <c r="F429" s="45"/>
      <c r="G429" s="45"/>
      <c r="H429" s="45"/>
      <c r="I429" s="45"/>
      <c r="J429" s="45"/>
    </row>
    <row r="430" spans="1:10" ht="15.75">
      <c r="A430" s="42">
        <v>85195</v>
      </c>
      <c r="B430" s="108" t="s">
        <v>56</v>
      </c>
      <c r="C430" s="25">
        <f>SUM(C432)</f>
        <v>72740</v>
      </c>
      <c r="D430" s="25">
        <f>SUM(D432)</f>
        <v>68869</v>
      </c>
      <c r="E430" s="25">
        <f>SUM(E432)</f>
        <v>41700</v>
      </c>
      <c r="F430" s="44">
        <f>SUM(E430/D430)*100</f>
        <v>60.549739360234646</v>
      </c>
      <c r="G430" s="25">
        <f>SUM(G432)</f>
        <v>68800</v>
      </c>
      <c r="H430" s="25">
        <f>SUM(H432)</f>
        <v>77900</v>
      </c>
      <c r="I430" s="25">
        <f>SUM(I432)</f>
        <v>72900</v>
      </c>
      <c r="J430" s="44">
        <f>SUM(I430/G430)*100</f>
        <v>105.95930232558139</v>
      </c>
    </row>
    <row r="431" spans="1:10" ht="12.75" customHeight="1">
      <c r="A431" s="14"/>
      <c r="B431" s="109"/>
      <c r="C431" s="27"/>
      <c r="D431" s="27"/>
      <c r="E431" s="27"/>
      <c r="F431" s="27"/>
      <c r="G431" s="27"/>
      <c r="H431" s="27"/>
      <c r="I431" s="27"/>
      <c r="J431" s="27"/>
    </row>
    <row r="432" spans="1:10" ht="15.75">
      <c r="A432" s="14"/>
      <c r="B432" s="63" t="s">
        <v>17</v>
      </c>
      <c r="C432" s="49">
        <f>83300+1440-2000-10000</f>
        <v>72740</v>
      </c>
      <c r="D432" s="49">
        <v>68869</v>
      </c>
      <c r="E432" s="49">
        <v>41700</v>
      </c>
      <c r="F432" s="167">
        <f>SUM(E432/D432)*100</f>
        <v>60.549739360234646</v>
      </c>
      <c r="G432" s="49">
        <v>68800</v>
      </c>
      <c r="H432" s="49">
        <f>77800+100</f>
        <v>77900</v>
      </c>
      <c r="I432" s="49">
        <f>77800+100-5000</f>
        <v>72900</v>
      </c>
      <c r="J432" s="167">
        <f>SUM(I432/G432)*100</f>
        <v>105.95930232558139</v>
      </c>
    </row>
    <row r="433" spans="1:10" ht="15.75">
      <c r="A433" s="14"/>
      <c r="B433" s="48" t="s">
        <v>102</v>
      </c>
      <c r="C433" s="49"/>
      <c r="D433" s="49"/>
      <c r="E433" s="49"/>
      <c r="F433" s="49"/>
      <c r="G433" s="49"/>
      <c r="H433" s="49"/>
      <c r="I433" s="49"/>
      <c r="J433" s="49"/>
    </row>
    <row r="434" spans="1:10" ht="15.75">
      <c r="A434" s="14"/>
      <c r="B434" s="48" t="s">
        <v>321</v>
      </c>
      <c r="C434" s="49">
        <v>1440</v>
      </c>
      <c r="D434" s="49">
        <v>69</v>
      </c>
      <c r="E434" s="49">
        <v>0</v>
      </c>
      <c r="F434" s="167">
        <f>SUM(E434/D434)*100</f>
        <v>0</v>
      </c>
      <c r="G434" s="49">
        <v>69</v>
      </c>
      <c r="H434" s="49">
        <v>100</v>
      </c>
      <c r="I434" s="49">
        <v>100</v>
      </c>
      <c r="J434" s="167">
        <f>SUM(I434/G434)*100</f>
        <v>144.92753623188406</v>
      </c>
    </row>
    <row r="435" spans="1:10" ht="15.75">
      <c r="A435" s="43"/>
      <c r="B435" s="47" t="s">
        <v>101</v>
      </c>
      <c r="C435" s="31">
        <v>15000</v>
      </c>
      <c r="D435" s="31">
        <v>10000</v>
      </c>
      <c r="E435" s="31">
        <v>0</v>
      </c>
      <c r="F435" s="30">
        <f>SUM(E435/D435)*100</f>
        <v>0</v>
      </c>
      <c r="G435" s="31">
        <v>10000</v>
      </c>
      <c r="H435" s="31">
        <v>15000</v>
      </c>
      <c r="I435" s="31">
        <f>15000-5000</f>
        <v>10000</v>
      </c>
      <c r="J435" s="30">
        <f>SUM(I435/G435)*100</f>
        <v>100</v>
      </c>
    </row>
    <row r="436" spans="1:10" ht="12.75" customHeight="1">
      <c r="A436" s="96"/>
      <c r="B436" s="87"/>
      <c r="C436" s="34"/>
      <c r="D436" s="34"/>
      <c r="E436" s="34"/>
      <c r="F436" s="34"/>
      <c r="G436" s="34"/>
      <c r="H436" s="34"/>
      <c r="I436" s="34"/>
      <c r="J436" s="34"/>
    </row>
    <row r="437" spans="1:10" ht="15.75">
      <c r="A437" s="35"/>
      <c r="B437" s="35"/>
      <c r="C437" s="37"/>
      <c r="D437" s="37"/>
      <c r="E437" s="37"/>
      <c r="F437" s="37"/>
      <c r="G437" s="37"/>
      <c r="H437" s="37"/>
      <c r="I437" s="37"/>
      <c r="J437" s="37"/>
    </row>
    <row r="438" spans="1:10" ht="16.5" thickBot="1">
      <c r="A438" s="38">
        <v>852</v>
      </c>
      <c r="B438" s="119" t="s">
        <v>57</v>
      </c>
      <c r="C438" s="40">
        <f>SUM(C440,C453,C462,C474,C479,C486,C490,C494,C506,C512,C521)</f>
        <v>14682386</v>
      </c>
      <c r="D438" s="40">
        <f>SUM(D440,D453,D462,D474,D479,D486,D490,D494,D506,D512,D517,D521)</f>
        <v>15608875.47</v>
      </c>
      <c r="E438" s="40">
        <f>SUM(E440,E453,E462,E474,E479,E486,E490,E494,E506,E512,E517,E521)</f>
        <v>11183111.560000002</v>
      </c>
      <c r="F438" s="19">
        <f>SUM(E438/D438)*100</f>
        <v>71.64585034645037</v>
      </c>
      <c r="G438" s="40">
        <f>SUM(G440,G453,G462,G474,G479,G486,G490,G494,G506,G512,G517,G521)</f>
        <v>15830899.07</v>
      </c>
      <c r="H438" s="40">
        <f>SUM(H440,H453,H462,H474,H479,H486,H490,H494,H506,H512,H517,H521)</f>
        <v>15694393</v>
      </c>
      <c r="I438" s="40">
        <f>SUM(I440,I453,I462,I474,I479,I486,I490,I494,I506,I512,I517,I521)</f>
        <v>14834393</v>
      </c>
      <c r="J438" s="19">
        <f>SUM(I438/G438)*100</f>
        <v>93.7053096883903</v>
      </c>
    </row>
    <row r="439" spans="1:10" ht="16.5" thickTop="1">
      <c r="A439" s="14"/>
      <c r="B439" s="51"/>
      <c r="C439" s="41"/>
      <c r="D439" s="41"/>
      <c r="E439" s="41"/>
      <c r="F439" s="41"/>
      <c r="G439" s="41"/>
      <c r="H439" s="41"/>
      <c r="I439" s="41"/>
      <c r="J439" s="41"/>
    </row>
    <row r="440" spans="1:10" ht="15.75">
      <c r="A440" s="42">
        <v>85202</v>
      </c>
      <c r="B440" s="110" t="s">
        <v>58</v>
      </c>
      <c r="C440" s="25">
        <f>SUM(C442)</f>
        <v>856266</v>
      </c>
      <c r="D440" s="25">
        <f>SUM(D442)</f>
        <v>856666</v>
      </c>
      <c r="E440" s="25">
        <f>SUM(E442)</f>
        <v>532310.31</v>
      </c>
      <c r="F440" s="44">
        <f>SUM(E440/D440)*100</f>
        <v>62.13743862835691</v>
      </c>
      <c r="G440" s="25">
        <f>SUM(G442)</f>
        <v>799317</v>
      </c>
      <c r="H440" s="25">
        <f>SUM(H442)</f>
        <v>515252</v>
      </c>
      <c r="I440" s="25">
        <f>SUM(I442)</f>
        <v>515252</v>
      </c>
      <c r="J440" s="44">
        <f>SUM(I440/G440)*100</f>
        <v>64.46153403468212</v>
      </c>
    </row>
    <row r="441" spans="1:10" ht="12.75" customHeight="1">
      <c r="A441" s="14"/>
      <c r="B441" s="51"/>
      <c r="C441" s="27"/>
      <c r="D441" s="27"/>
      <c r="E441" s="27"/>
      <c r="F441" s="27"/>
      <c r="G441" s="27"/>
      <c r="H441" s="27"/>
      <c r="I441" s="27"/>
      <c r="J441" s="27"/>
    </row>
    <row r="442" spans="1:10" ht="15.75">
      <c r="A442" s="14"/>
      <c r="B442" s="66" t="s">
        <v>4</v>
      </c>
      <c r="C442" s="49">
        <f>SUM(C444,C445,C447)</f>
        <v>856266</v>
      </c>
      <c r="D442" s="49">
        <f>SUM(D444,D445,D447)</f>
        <v>856666</v>
      </c>
      <c r="E442" s="49">
        <f>SUM(E444,E445,E447)</f>
        <v>532310.31</v>
      </c>
      <c r="F442" s="167">
        <f>SUM(E442/D442)*100</f>
        <v>62.13743862835691</v>
      </c>
      <c r="G442" s="49">
        <f>SUM(G444,G445,G447)</f>
        <v>799317</v>
      </c>
      <c r="H442" s="49">
        <f>SUM(H444,H445,H447)</f>
        <v>515252</v>
      </c>
      <c r="I442" s="49">
        <f>SUM(I444,I445,I447)</f>
        <v>515252</v>
      </c>
      <c r="J442" s="167">
        <f>SUM(I442/G442)*100</f>
        <v>64.46153403468212</v>
      </c>
    </row>
    <row r="443" spans="1:10" ht="15.75">
      <c r="A443" s="14"/>
      <c r="B443" s="66" t="s">
        <v>3</v>
      </c>
      <c r="C443" s="49"/>
      <c r="D443" s="49"/>
      <c r="E443" s="49"/>
      <c r="F443" s="49"/>
      <c r="G443" s="49"/>
      <c r="H443" s="49"/>
      <c r="I443" s="49"/>
      <c r="J443" s="49"/>
    </row>
    <row r="444" spans="1:10" ht="15.75">
      <c r="A444" s="14"/>
      <c r="B444" s="66" t="s">
        <v>79</v>
      </c>
      <c r="C444" s="49">
        <f>368233-50000+50000</f>
        <v>368233</v>
      </c>
      <c r="D444" s="49">
        <v>368008</v>
      </c>
      <c r="E444" s="49">
        <v>300257.81</v>
      </c>
      <c r="F444" s="167">
        <f>SUM(E444/D444)*100</f>
        <v>81.59002249951088</v>
      </c>
      <c r="G444" s="49">
        <v>426216</v>
      </c>
      <c r="H444" s="49">
        <v>342999</v>
      </c>
      <c r="I444" s="49">
        <v>342999</v>
      </c>
      <c r="J444" s="167">
        <f>SUM(I444/G444)*100</f>
        <v>80.47539275860127</v>
      </c>
    </row>
    <row r="445" spans="1:10" ht="15.75">
      <c r="A445" s="14"/>
      <c r="B445" s="67" t="s">
        <v>18</v>
      </c>
      <c r="C445" s="31">
        <f>476653-10000+128</f>
        <v>466781</v>
      </c>
      <c r="D445" s="31">
        <v>467406</v>
      </c>
      <c r="E445" s="31">
        <v>232052.5</v>
      </c>
      <c r="F445" s="30">
        <f>SUM(E445/D445)*100</f>
        <v>49.64688087016427</v>
      </c>
      <c r="G445" s="31">
        <v>373101</v>
      </c>
      <c r="H445" s="31">
        <v>172253</v>
      </c>
      <c r="I445" s="31">
        <v>172253</v>
      </c>
      <c r="J445" s="30">
        <f>SUM(I445/G445)*100</f>
        <v>46.16792771930388</v>
      </c>
    </row>
    <row r="446" spans="1:10" ht="15.75">
      <c r="A446" s="14"/>
      <c r="B446" s="66"/>
      <c r="C446" s="49"/>
      <c r="D446" s="49"/>
      <c r="E446" s="49"/>
      <c r="F446" s="49"/>
      <c r="G446" s="49"/>
      <c r="H446" s="49"/>
      <c r="I446" s="49"/>
      <c r="J446" s="49"/>
    </row>
    <row r="447" spans="1:10" ht="15.75">
      <c r="A447" s="14"/>
      <c r="B447" s="112" t="s">
        <v>127</v>
      </c>
      <c r="C447" s="65">
        <f>SUM(C449:C451)</f>
        <v>21252</v>
      </c>
      <c r="D447" s="65">
        <f>SUM(D449:D451)</f>
        <v>21252</v>
      </c>
      <c r="E447" s="65">
        <f>SUM(E449:E451)</f>
        <v>0</v>
      </c>
      <c r="F447" s="166">
        <f>SUM(E447/D447)*100</f>
        <v>0</v>
      </c>
      <c r="G447" s="65">
        <f>SUM(G449:G451)</f>
        <v>0</v>
      </c>
      <c r="H447" s="65">
        <f>SUM(H449:H451)</f>
        <v>0</v>
      </c>
      <c r="I447" s="65">
        <f>SUM(I449:I451)</f>
        <v>0</v>
      </c>
      <c r="J447" s="166">
        <v>0</v>
      </c>
    </row>
    <row r="448" spans="1:10" ht="15.75">
      <c r="A448" s="14"/>
      <c r="B448" s="112" t="s">
        <v>3</v>
      </c>
      <c r="C448" s="49"/>
      <c r="D448" s="49"/>
      <c r="E448" s="49"/>
      <c r="F448" s="49"/>
      <c r="G448" s="49"/>
      <c r="H448" s="49"/>
      <c r="I448" s="49"/>
      <c r="J448" s="49"/>
    </row>
    <row r="449" spans="1:10" ht="15.75">
      <c r="A449" s="14"/>
      <c r="B449" s="47" t="s">
        <v>322</v>
      </c>
      <c r="C449" s="31">
        <f>9260-128</f>
        <v>9132</v>
      </c>
      <c r="D449" s="31">
        <f>9260-128</f>
        <v>9132</v>
      </c>
      <c r="E449" s="31">
        <v>0</v>
      </c>
      <c r="F449" s="30">
        <f>SUM(E449/D449)*100</f>
        <v>0</v>
      </c>
      <c r="G449" s="31">
        <v>0</v>
      </c>
      <c r="H449" s="31">
        <v>0</v>
      </c>
      <c r="I449" s="31">
        <v>0</v>
      </c>
      <c r="J449" s="30">
        <v>0</v>
      </c>
    </row>
    <row r="450" spans="1:10" ht="15.75">
      <c r="A450" s="14"/>
      <c r="B450" s="89" t="s">
        <v>323</v>
      </c>
      <c r="C450" s="77">
        <v>5120</v>
      </c>
      <c r="D450" s="77">
        <v>5120</v>
      </c>
      <c r="E450" s="77">
        <v>0</v>
      </c>
      <c r="F450" s="30">
        <f>SUM(E450/D450)*100</f>
        <v>0</v>
      </c>
      <c r="G450" s="77">
        <v>0</v>
      </c>
      <c r="H450" s="77">
        <v>0</v>
      </c>
      <c r="I450" s="77">
        <v>0</v>
      </c>
      <c r="J450" s="30">
        <v>0</v>
      </c>
    </row>
    <row r="451" spans="1:10" ht="15.75">
      <c r="A451" s="14"/>
      <c r="B451" s="89" t="s">
        <v>324</v>
      </c>
      <c r="C451" s="77">
        <v>7000</v>
      </c>
      <c r="D451" s="77">
        <v>7000</v>
      </c>
      <c r="E451" s="77">
        <v>0</v>
      </c>
      <c r="F451" s="30">
        <f>SUM(E451/D451)*100</f>
        <v>0</v>
      </c>
      <c r="G451" s="77">
        <v>0</v>
      </c>
      <c r="H451" s="77">
        <v>0</v>
      </c>
      <c r="I451" s="77">
        <v>0</v>
      </c>
      <c r="J451" s="30">
        <v>0</v>
      </c>
    </row>
    <row r="452" spans="1:10" ht="15.75">
      <c r="A452" s="14"/>
      <c r="B452" s="109"/>
      <c r="C452" s="41"/>
      <c r="D452" s="41"/>
      <c r="E452" s="41"/>
      <c r="F452" s="41"/>
      <c r="G452" s="41"/>
      <c r="H452" s="41"/>
      <c r="I452" s="41"/>
      <c r="J452" s="41"/>
    </row>
    <row r="453" spans="1:10" ht="31.5">
      <c r="A453" s="42">
        <v>85205</v>
      </c>
      <c r="B453" s="120" t="s">
        <v>144</v>
      </c>
      <c r="C453" s="25">
        <f>SUM(C455:C455)</f>
        <v>10000</v>
      </c>
      <c r="D453" s="25">
        <f>SUM(D455:D455)</f>
        <v>10000</v>
      </c>
      <c r="E453" s="25">
        <f>SUM(E455:E455)</f>
        <v>9279.67</v>
      </c>
      <c r="F453" s="44">
        <f>SUM(E453/D453)*100</f>
        <v>92.7967</v>
      </c>
      <c r="G453" s="25">
        <f>SUM(G455:G455)</f>
        <v>10000</v>
      </c>
      <c r="H453" s="25">
        <f>SUM(H455:H455)</f>
        <v>20000</v>
      </c>
      <c r="I453" s="25">
        <f>SUM(I455:I455)</f>
        <v>15000</v>
      </c>
      <c r="J453" s="44">
        <f>SUM(I453/G453)*100</f>
        <v>150</v>
      </c>
    </row>
    <row r="454" spans="1:10" ht="15.75">
      <c r="A454" s="14"/>
      <c r="B454" s="109"/>
      <c r="C454" s="27"/>
      <c r="D454" s="27"/>
      <c r="E454" s="27"/>
      <c r="F454" s="27"/>
      <c r="G454" s="27"/>
      <c r="H454" s="27"/>
      <c r="I454" s="27"/>
      <c r="J454" s="27"/>
    </row>
    <row r="455" spans="1:10" ht="45.75">
      <c r="A455" s="14"/>
      <c r="B455" s="48" t="s">
        <v>113</v>
      </c>
      <c r="C455" s="49">
        <v>10000</v>
      </c>
      <c r="D455" s="49">
        <v>10000</v>
      </c>
      <c r="E455" s="49">
        <v>9279.67</v>
      </c>
      <c r="F455" s="167">
        <f>SUM(E455/D455)*100</f>
        <v>92.7967</v>
      </c>
      <c r="G455" s="49">
        <v>10000</v>
      </c>
      <c r="H455" s="49">
        <v>20000</v>
      </c>
      <c r="I455" s="49">
        <f>20000-5000</f>
        <v>15000</v>
      </c>
      <c r="J455" s="167">
        <f>SUM(I455/G455)*100</f>
        <v>150</v>
      </c>
    </row>
    <row r="456" spans="1:10" ht="16.5" thickBot="1">
      <c r="A456" s="43"/>
      <c r="B456" s="47" t="s">
        <v>108</v>
      </c>
      <c r="C456" s="31">
        <v>9962</v>
      </c>
      <c r="D456" s="31">
        <v>9962</v>
      </c>
      <c r="E456" s="31">
        <v>9247.93</v>
      </c>
      <c r="F456" s="178">
        <f>SUM(E456/D456)*100</f>
        <v>92.8320618349729</v>
      </c>
      <c r="G456" s="31">
        <v>9962</v>
      </c>
      <c r="H456" s="31">
        <v>11651</v>
      </c>
      <c r="I456" s="31">
        <v>11651</v>
      </c>
      <c r="J456" s="178">
        <f>SUM(I456/G456)*100</f>
        <v>116.95442682192332</v>
      </c>
    </row>
    <row r="457" spans="1:10" ht="15.75">
      <c r="A457" s="2"/>
      <c r="B457" s="3"/>
      <c r="C457" s="4"/>
      <c r="D457" s="4"/>
      <c r="E457" s="4"/>
      <c r="F457" s="4"/>
      <c r="G457" s="4"/>
      <c r="H457" s="4"/>
      <c r="I457" s="4"/>
      <c r="J457" s="4"/>
    </row>
    <row r="458" spans="1:10" ht="15.75">
      <c r="A458" s="5" t="s">
        <v>22</v>
      </c>
      <c r="B458" s="6" t="s">
        <v>1</v>
      </c>
      <c r="C458" s="7" t="s">
        <v>120</v>
      </c>
      <c r="D458" s="7" t="s">
        <v>120</v>
      </c>
      <c r="E458" s="7" t="s">
        <v>146</v>
      </c>
      <c r="F458" s="7" t="s">
        <v>21</v>
      </c>
      <c r="G458" s="7" t="s">
        <v>211</v>
      </c>
      <c r="H458" s="7" t="s">
        <v>216</v>
      </c>
      <c r="I458" s="7" t="s">
        <v>213</v>
      </c>
      <c r="J458" s="7" t="s">
        <v>21</v>
      </c>
    </row>
    <row r="459" spans="1:10" ht="15.75">
      <c r="A459" s="5" t="s">
        <v>24</v>
      </c>
      <c r="B459" s="8"/>
      <c r="C459" s="7" t="s">
        <v>181</v>
      </c>
      <c r="D459" s="7" t="s">
        <v>210</v>
      </c>
      <c r="E459" s="7" t="s">
        <v>210</v>
      </c>
      <c r="F459" s="7" t="s">
        <v>10</v>
      </c>
      <c r="G459" s="7" t="s">
        <v>212</v>
      </c>
      <c r="H459" s="7" t="s">
        <v>217</v>
      </c>
      <c r="I459" s="7" t="s">
        <v>214</v>
      </c>
      <c r="J459" s="7" t="s">
        <v>10</v>
      </c>
    </row>
    <row r="460" spans="1:10" ht="16.5" thickBot="1">
      <c r="A460" s="9"/>
      <c r="B460" s="10"/>
      <c r="C460" s="11" t="s">
        <v>140</v>
      </c>
      <c r="D460" s="11" t="s">
        <v>140</v>
      </c>
      <c r="E460" s="11" t="s">
        <v>140</v>
      </c>
      <c r="F460" s="11"/>
      <c r="G460" s="11" t="s">
        <v>215</v>
      </c>
      <c r="H460" s="11" t="s">
        <v>140</v>
      </c>
      <c r="I460" s="11" t="s">
        <v>140</v>
      </c>
      <c r="J460" s="11"/>
    </row>
    <row r="461" spans="1:10" ht="15.75">
      <c r="A461" s="145"/>
      <c r="B461" s="146"/>
      <c r="C461" s="147"/>
      <c r="D461" s="147"/>
      <c r="E461" s="147"/>
      <c r="F461" s="147"/>
      <c r="G461" s="147"/>
      <c r="H461" s="147"/>
      <c r="I461" s="147"/>
      <c r="J461" s="147"/>
    </row>
    <row r="462" spans="1:10" ht="63">
      <c r="A462" s="122">
        <v>85212</v>
      </c>
      <c r="B462" s="108" t="s">
        <v>123</v>
      </c>
      <c r="C462" s="25">
        <f>SUM(C464,C469)</f>
        <v>7802000</v>
      </c>
      <c r="D462" s="25">
        <f>SUM(D464,D469)</f>
        <v>7801450</v>
      </c>
      <c r="E462" s="25">
        <f>SUM(E464,E469)</f>
        <v>5913630.970000001</v>
      </c>
      <c r="F462" s="44">
        <f>SUM(E462/D462)*100</f>
        <v>75.80169032679824</v>
      </c>
      <c r="G462" s="25">
        <f>SUM(G464,G469)</f>
        <v>7777000</v>
      </c>
      <c r="H462" s="25">
        <f>SUM(H464,H469)</f>
        <v>7610000</v>
      </c>
      <c r="I462" s="25">
        <f>SUM(I464,I469)</f>
        <v>7600000</v>
      </c>
      <c r="J462" s="44">
        <f>SUM(I462/G462)*100</f>
        <v>97.72405812009772</v>
      </c>
    </row>
    <row r="463" spans="1:10" ht="12.75" customHeight="1">
      <c r="A463" s="14"/>
      <c r="B463" s="109"/>
      <c r="C463" s="41"/>
      <c r="D463" s="41"/>
      <c r="E463" s="41"/>
      <c r="F463" s="41"/>
      <c r="G463" s="41"/>
      <c r="H463" s="41"/>
      <c r="I463" s="41"/>
      <c r="J463" s="41"/>
    </row>
    <row r="464" spans="1:10" ht="15.75">
      <c r="A464" s="14"/>
      <c r="B464" s="63" t="s">
        <v>6</v>
      </c>
      <c r="C464" s="49">
        <f>SUM(C466:C467)</f>
        <v>85000</v>
      </c>
      <c r="D464" s="49">
        <f>SUM(D466:D467)</f>
        <v>84450</v>
      </c>
      <c r="E464" s="49">
        <f>SUM(E466:E467)</f>
        <v>38500</v>
      </c>
      <c r="F464" s="167">
        <f>SUM(E464/D464)*100</f>
        <v>45.58910597986974</v>
      </c>
      <c r="G464" s="49">
        <f>SUM(G466:G467)</f>
        <v>60000</v>
      </c>
      <c r="H464" s="49">
        <f>SUM(H466:H467)</f>
        <v>70000</v>
      </c>
      <c r="I464" s="49">
        <f>SUM(I466:I467)</f>
        <v>60000</v>
      </c>
      <c r="J464" s="167">
        <f>SUM(I464/G464)*100</f>
        <v>100</v>
      </c>
    </row>
    <row r="465" spans="1:10" ht="15.75">
      <c r="A465" s="14"/>
      <c r="B465" s="63" t="s">
        <v>3</v>
      </c>
      <c r="C465" s="86"/>
      <c r="D465" s="86"/>
      <c r="E465" s="86"/>
      <c r="F465" s="86"/>
      <c r="G465" s="86"/>
      <c r="H465" s="86"/>
      <c r="I465" s="86"/>
      <c r="J465" s="86"/>
    </row>
    <row r="466" spans="1:10" ht="15.75">
      <c r="A466" s="14"/>
      <c r="B466" s="63" t="s">
        <v>16</v>
      </c>
      <c r="C466" s="49">
        <f>96000-15000</f>
        <v>81000</v>
      </c>
      <c r="D466" s="49">
        <v>80450</v>
      </c>
      <c r="E466" s="49">
        <v>38500</v>
      </c>
      <c r="F466" s="167">
        <f>SUM(E466/D466)*100</f>
        <v>47.855811062771906</v>
      </c>
      <c r="G466" s="49">
        <v>60000</v>
      </c>
      <c r="H466" s="49">
        <v>70000</v>
      </c>
      <c r="I466" s="49">
        <f>70000-10000</f>
        <v>60000</v>
      </c>
      <c r="J466" s="167">
        <f>SUM(I466/G466)*100</f>
        <v>100</v>
      </c>
    </row>
    <row r="467" spans="1:10" ht="15.75">
      <c r="A467" s="14"/>
      <c r="B467" s="63" t="s">
        <v>13</v>
      </c>
      <c r="C467" s="49">
        <v>4000</v>
      </c>
      <c r="D467" s="49">
        <v>4000</v>
      </c>
      <c r="E467" s="49">
        <v>0</v>
      </c>
      <c r="F467" s="167">
        <f>SUM(E467/D467)*100</f>
        <v>0</v>
      </c>
      <c r="G467" s="49">
        <v>0</v>
      </c>
      <c r="H467" s="49">
        <v>0</v>
      </c>
      <c r="I467" s="49">
        <v>0</v>
      </c>
      <c r="J467" s="167">
        <v>0</v>
      </c>
    </row>
    <row r="468" spans="1:10" ht="15.75">
      <c r="A468" s="14"/>
      <c r="B468" s="63"/>
      <c r="C468" s="86"/>
      <c r="D468" s="86"/>
      <c r="E468" s="86"/>
      <c r="F468" s="86"/>
      <c r="G468" s="86"/>
      <c r="H468" s="86"/>
      <c r="I468" s="86"/>
      <c r="J468" s="86"/>
    </row>
    <row r="469" spans="1:10" ht="15.75">
      <c r="A469" s="14"/>
      <c r="B469" s="63" t="s">
        <v>97</v>
      </c>
      <c r="C469" s="49">
        <f>SUM(C471:C473)</f>
        <v>7717000</v>
      </c>
      <c r="D469" s="49">
        <f>SUM(D471:D473)</f>
        <v>7717000</v>
      </c>
      <c r="E469" s="49">
        <f>SUM(E471:E473)</f>
        <v>5875130.970000001</v>
      </c>
      <c r="F469" s="167">
        <f>SUM(E469/D469)*100</f>
        <v>76.13231786963847</v>
      </c>
      <c r="G469" s="49">
        <f>SUM(G471:G473)</f>
        <v>7717000</v>
      </c>
      <c r="H469" s="49">
        <f>SUM(H471:H473)</f>
        <v>7540000</v>
      </c>
      <c r="I469" s="49">
        <f>SUM(I471:I473)</f>
        <v>7540000</v>
      </c>
      <c r="J469" s="167">
        <f>SUM(I469/G469)*100</f>
        <v>97.70636257613063</v>
      </c>
    </row>
    <row r="470" spans="1:10" ht="15.75">
      <c r="A470" s="14"/>
      <c r="B470" s="63" t="s">
        <v>3</v>
      </c>
      <c r="C470" s="86"/>
      <c r="D470" s="86"/>
      <c r="E470" s="86"/>
      <c r="F470" s="86"/>
      <c r="G470" s="49"/>
      <c r="H470" s="86"/>
      <c r="I470" s="86"/>
      <c r="J470" s="86"/>
    </row>
    <row r="471" spans="1:10" ht="15.75">
      <c r="A471" s="14"/>
      <c r="B471" s="63" t="s">
        <v>78</v>
      </c>
      <c r="C471" s="49">
        <v>176051</v>
      </c>
      <c r="D471" s="49">
        <v>176051</v>
      </c>
      <c r="E471" s="49">
        <f>101541.43+15034.53</f>
        <v>116575.95999999999</v>
      </c>
      <c r="F471" s="167">
        <f>SUM(E471/D471)*100</f>
        <v>66.21715298407848</v>
      </c>
      <c r="G471" s="49">
        <v>176051</v>
      </c>
      <c r="H471" s="49">
        <v>205980</v>
      </c>
      <c r="I471" s="49">
        <v>205980</v>
      </c>
      <c r="J471" s="167">
        <f>SUM(I471/G471)*100</f>
        <v>117.00018744568335</v>
      </c>
    </row>
    <row r="472" spans="1:10" ht="15.75">
      <c r="A472" s="14"/>
      <c r="B472" s="63" t="s">
        <v>16</v>
      </c>
      <c r="C472" s="49">
        <v>7485490</v>
      </c>
      <c r="D472" s="49">
        <f>7341490+144000</f>
        <v>7485490</v>
      </c>
      <c r="E472" s="49">
        <f>5650867.13+91669.4</f>
        <v>5742536.53</v>
      </c>
      <c r="F472" s="167">
        <f>SUM(E472/D472)*100</f>
        <v>76.71557279483375</v>
      </c>
      <c r="G472" s="49">
        <v>7485490</v>
      </c>
      <c r="H472" s="49">
        <v>7313800</v>
      </c>
      <c r="I472" s="49">
        <v>7313800</v>
      </c>
      <c r="J472" s="167">
        <f>SUM(I472/G472)*100</f>
        <v>97.70636257613063</v>
      </c>
    </row>
    <row r="473" spans="1:10" ht="15.75">
      <c r="A473" s="43"/>
      <c r="B473" s="62" t="s">
        <v>13</v>
      </c>
      <c r="C473" s="31">
        <v>55459</v>
      </c>
      <c r="D473" s="31">
        <v>55459</v>
      </c>
      <c r="E473" s="31">
        <v>16018.48</v>
      </c>
      <c r="F473" s="30">
        <f>SUM(E473/D473)*100</f>
        <v>28.883463459492596</v>
      </c>
      <c r="G473" s="31">
        <v>55459</v>
      </c>
      <c r="H473" s="31">
        <v>20220</v>
      </c>
      <c r="I473" s="31">
        <v>20220</v>
      </c>
      <c r="J473" s="30">
        <f>SUM(I473/G473)*100</f>
        <v>36.4593663787663</v>
      </c>
    </row>
    <row r="474" spans="1:10" ht="94.5">
      <c r="A474" s="122">
        <v>85213</v>
      </c>
      <c r="B474" s="78" t="s">
        <v>145</v>
      </c>
      <c r="C474" s="25">
        <f>SUM(C476,C477)</f>
        <v>75000</v>
      </c>
      <c r="D474" s="25">
        <f>SUM(D476,D477)</f>
        <v>76050</v>
      </c>
      <c r="E474" s="25">
        <f>SUM(E476,E477)</f>
        <v>56845.48999999999</v>
      </c>
      <c r="F474" s="44">
        <f>SUM(E474/D474)*100</f>
        <v>74.74752136752136</v>
      </c>
      <c r="G474" s="25">
        <f>SUM(G476,G477)</f>
        <v>76047.6</v>
      </c>
      <c r="H474" s="25">
        <f>SUM(H476,H477)</f>
        <v>73750</v>
      </c>
      <c r="I474" s="25">
        <f>SUM(I476,I477)</f>
        <v>73750</v>
      </c>
      <c r="J474" s="44">
        <f>SUM(I474/G474)*100</f>
        <v>96.9787343716304</v>
      </c>
    </row>
    <row r="475" spans="1:10" ht="12.75" customHeight="1">
      <c r="A475" s="14"/>
      <c r="B475" s="68"/>
      <c r="C475" s="27"/>
      <c r="D475" s="27"/>
      <c r="E475" s="27"/>
      <c r="F475" s="27"/>
      <c r="G475" s="27"/>
      <c r="H475" s="27"/>
      <c r="I475" s="27"/>
      <c r="J475" s="27"/>
    </row>
    <row r="476" spans="1:10" ht="15.75">
      <c r="A476" s="14"/>
      <c r="B476" s="48" t="s">
        <v>6</v>
      </c>
      <c r="C476" s="49">
        <f>36000+9000</f>
        <v>45000</v>
      </c>
      <c r="D476" s="49">
        <f>47000+550</f>
        <v>47550</v>
      </c>
      <c r="E476" s="49">
        <f>33773.09+547.6</f>
        <v>34320.689999999995</v>
      </c>
      <c r="F476" s="167">
        <f>SUM(E476/D476)*100</f>
        <v>72.1781072555205</v>
      </c>
      <c r="G476" s="49">
        <f>47000+547.6</f>
        <v>47547.6</v>
      </c>
      <c r="H476" s="49">
        <f>39000+9750</f>
        <v>48750</v>
      </c>
      <c r="I476" s="49">
        <f>39000+9750</f>
        <v>48750</v>
      </c>
      <c r="J476" s="167">
        <f>SUM(I476/G476)*100</f>
        <v>102.52883426292809</v>
      </c>
    </row>
    <row r="477" spans="1:10" ht="15.75">
      <c r="A477" s="43"/>
      <c r="B477" s="47" t="s">
        <v>7</v>
      </c>
      <c r="C477" s="31">
        <v>30000</v>
      </c>
      <c r="D477" s="31">
        <v>28500</v>
      </c>
      <c r="E477" s="31">
        <v>22524.8</v>
      </c>
      <c r="F477" s="30">
        <f>SUM(E477/D477)*100</f>
        <v>79.03438596491227</v>
      </c>
      <c r="G477" s="31">
        <v>28500</v>
      </c>
      <c r="H477" s="31">
        <v>25000</v>
      </c>
      <c r="I477" s="31">
        <v>25000</v>
      </c>
      <c r="J477" s="30">
        <f>SUM(I477/G477)*100</f>
        <v>87.71929824561403</v>
      </c>
    </row>
    <row r="478" spans="1:10" ht="12.75" customHeight="1">
      <c r="A478" s="35"/>
      <c r="B478" s="35"/>
      <c r="C478" s="37"/>
      <c r="D478" s="37"/>
      <c r="E478" s="37"/>
      <c r="F478" s="37"/>
      <c r="G478" s="37"/>
      <c r="H478" s="37"/>
      <c r="I478" s="37"/>
      <c r="J478" s="37"/>
    </row>
    <row r="479" spans="1:10" ht="31.5">
      <c r="A479" s="42">
        <v>85214</v>
      </c>
      <c r="B479" s="78" t="s">
        <v>77</v>
      </c>
      <c r="C479" s="25">
        <f>SUM(C481)</f>
        <v>1950000</v>
      </c>
      <c r="D479" s="25">
        <f>SUM(D481)</f>
        <v>2338100</v>
      </c>
      <c r="E479" s="25">
        <f>SUM(E481)</f>
        <v>1535472.27</v>
      </c>
      <c r="F479" s="44">
        <f>SUM(E479/D479)*100</f>
        <v>65.6717963303537</v>
      </c>
      <c r="G479" s="25">
        <f>SUM(G481)</f>
        <v>2509100</v>
      </c>
      <c r="H479" s="25">
        <f>SUM(H481)</f>
        <v>3163000</v>
      </c>
      <c r="I479" s="25">
        <f>SUM(I481)</f>
        <v>2563000</v>
      </c>
      <c r="J479" s="44">
        <f>SUM(I479/G479)*100</f>
        <v>102.14818062253397</v>
      </c>
    </row>
    <row r="480" spans="1:10" ht="12.75" customHeight="1">
      <c r="A480" s="14"/>
      <c r="B480" s="14"/>
      <c r="C480" s="27"/>
      <c r="D480" s="27"/>
      <c r="E480" s="27"/>
      <c r="F480" s="27"/>
      <c r="G480" s="27"/>
      <c r="H480" s="27"/>
      <c r="I480" s="27"/>
      <c r="J480" s="27"/>
    </row>
    <row r="481" spans="1:10" ht="15.75">
      <c r="A481" s="14"/>
      <c r="B481" s="46" t="s">
        <v>6</v>
      </c>
      <c r="C481" s="49">
        <f>SUM(C483:C484)</f>
        <v>1950000</v>
      </c>
      <c r="D481" s="49">
        <f>SUM(D483:D484)</f>
        <v>2338100</v>
      </c>
      <c r="E481" s="49">
        <f>SUM(E483:E484)</f>
        <v>1535472.27</v>
      </c>
      <c r="F481" s="167">
        <f>SUM(E481/D481)*100</f>
        <v>65.6717963303537</v>
      </c>
      <c r="G481" s="49">
        <f>SUM(G483:G484)</f>
        <v>2509100</v>
      </c>
      <c r="H481" s="49">
        <f>SUM(H483:H484)</f>
        <v>3163000</v>
      </c>
      <c r="I481" s="49">
        <f>SUM(I483:I484)</f>
        <v>2563000</v>
      </c>
      <c r="J481" s="167">
        <f>SUM(I481/G481)*100</f>
        <v>102.14818062253397</v>
      </c>
    </row>
    <row r="482" spans="1:10" ht="15.75">
      <c r="A482" s="14"/>
      <c r="B482" s="46" t="s">
        <v>3</v>
      </c>
      <c r="C482" s="49"/>
      <c r="D482" s="49"/>
      <c r="E482" s="49"/>
      <c r="F482" s="49"/>
      <c r="G482" s="49"/>
      <c r="H482" s="49"/>
      <c r="I482" s="49"/>
      <c r="J482" s="49"/>
    </row>
    <row r="483" spans="1:10" ht="15.75">
      <c r="A483" s="14"/>
      <c r="B483" s="46" t="s">
        <v>16</v>
      </c>
      <c r="C483" s="49">
        <f>561000+2162000-1023000-250000-50000</f>
        <v>1400000</v>
      </c>
      <c r="D483" s="49">
        <v>1470100</v>
      </c>
      <c r="E483" s="49">
        <v>916350.4</v>
      </c>
      <c r="F483" s="167">
        <f>SUM(E483/D483)*100</f>
        <v>62.33252159717026</v>
      </c>
      <c r="G483" s="49">
        <v>1641100</v>
      </c>
      <c r="H483" s="49">
        <f>633000+1470000</f>
        <v>2103000</v>
      </c>
      <c r="I483" s="49">
        <f>633000+1470000-300000-100000</f>
        <v>1703000</v>
      </c>
      <c r="J483" s="167">
        <f>SUM(I483/G483)*100</f>
        <v>103.77186033757846</v>
      </c>
    </row>
    <row r="484" spans="1:10" ht="15.75">
      <c r="A484" s="43"/>
      <c r="B484" s="28" t="s">
        <v>13</v>
      </c>
      <c r="C484" s="31">
        <f>950000-400000</f>
        <v>550000</v>
      </c>
      <c r="D484" s="31">
        <v>868000</v>
      </c>
      <c r="E484" s="31">
        <v>619121.87</v>
      </c>
      <c r="F484" s="30">
        <f>SUM(E484/D484)*100</f>
        <v>71.32740437788019</v>
      </c>
      <c r="G484" s="31">
        <v>868000</v>
      </c>
      <c r="H484" s="31">
        <v>1060000</v>
      </c>
      <c r="I484" s="31">
        <f>1060000-100000-100000</f>
        <v>860000</v>
      </c>
      <c r="J484" s="30">
        <f>SUM(I484/G484)*100</f>
        <v>99.07834101382488</v>
      </c>
    </row>
    <row r="485" spans="1:10" ht="12.75" customHeight="1">
      <c r="A485" s="35"/>
      <c r="B485" s="105"/>
      <c r="C485" s="45"/>
      <c r="D485" s="45"/>
      <c r="E485" s="45"/>
      <c r="F485" s="45"/>
      <c r="G485" s="45"/>
      <c r="H485" s="45"/>
      <c r="I485" s="45"/>
      <c r="J485" s="45"/>
    </row>
    <row r="486" spans="1:10" ht="15.75">
      <c r="A486" s="42">
        <v>85215</v>
      </c>
      <c r="B486" s="43" t="s">
        <v>59</v>
      </c>
      <c r="C486" s="25">
        <f>SUM(C488)</f>
        <v>1400000</v>
      </c>
      <c r="D486" s="25">
        <f>SUM(D488)</f>
        <v>1400000</v>
      </c>
      <c r="E486" s="25">
        <f>SUM(E488)</f>
        <v>1081308.92</v>
      </c>
      <c r="F486" s="44">
        <f>SUM(E486/D486)*100</f>
        <v>77.23635142857142</v>
      </c>
      <c r="G486" s="25">
        <f>SUM(G488)</f>
        <v>1500000</v>
      </c>
      <c r="H486" s="25">
        <f>SUM(H488)</f>
        <v>1605000</v>
      </c>
      <c r="I486" s="25">
        <f>SUM(I488)</f>
        <v>1505000</v>
      </c>
      <c r="J486" s="44">
        <f>SUM(I486/G486)*100</f>
        <v>100.33333333333334</v>
      </c>
    </row>
    <row r="487" spans="1:10" ht="12.75" customHeight="1">
      <c r="A487" s="14"/>
      <c r="B487" s="14"/>
      <c r="C487" s="45"/>
      <c r="D487" s="45"/>
      <c r="E487" s="45"/>
      <c r="F487" s="45"/>
      <c r="G487" s="45"/>
      <c r="H487" s="45"/>
      <c r="I487" s="45"/>
      <c r="J487" s="45"/>
    </row>
    <row r="488" spans="1:10" ht="15.75">
      <c r="A488" s="14"/>
      <c r="B488" s="28" t="s">
        <v>8</v>
      </c>
      <c r="C488" s="31">
        <f>1704000-100000-204000</f>
        <v>1400000</v>
      </c>
      <c r="D488" s="31">
        <f>1704000-100000-204000</f>
        <v>1400000</v>
      </c>
      <c r="E488" s="31">
        <v>1081308.92</v>
      </c>
      <c r="F488" s="30">
        <f>SUM(E488/D488)*100</f>
        <v>77.23635142857142</v>
      </c>
      <c r="G488" s="31">
        <v>1500000</v>
      </c>
      <c r="H488" s="31">
        <v>1605000</v>
      </c>
      <c r="I488" s="31">
        <f>1605000-50000-50000</f>
        <v>1505000</v>
      </c>
      <c r="J488" s="30">
        <f>SUM(I488/G488)*100</f>
        <v>100.33333333333334</v>
      </c>
    </row>
    <row r="489" spans="1:10" ht="15.75">
      <c r="A489" s="14"/>
      <c r="B489" s="14"/>
      <c r="C489" s="27"/>
      <c r="D489" s="27"/>
      <c r="E489" s="27"/>
      <c r="F489" s="27"/>
      <c r="G489" s="27"/>
      <c r="H489" s="27"/>
      <c r="I489" s="27"/>
      <c r="J489" s="27"/>
    </row>
    <row r="490" spans="1:10" ht="15.75">
      <c r="A490" s="42">
        <v>85216</v>
      </c>
      <c r="B490" s="43" t="s">
        <v>135</v>
      </c>
      <c r="C490" s="25">
        <f>SUM(C492)</f>
        <v>500000</v>
      </c>
      <c r="D490" s="25">
        <f>SUM(D492)</f>
        <v>517500</v>
      </c>
      <c r="E490" s="25">
        <f>SUM(E492)</f>
        <v>399828.48</v>
      </c>
      <c r="F490" s="44">
        <f>SUM(E490/D490)*100</f>
        <v>77.2615420289855</v>
      </c>
      <c r="G490" s="25">
        <f>SUM(G492)</f>
        <v>537500</v>
      </c>
      <c r="H490" s="25">
        <f>SUM(H492)</f>
        <v>557500</v>
      </c>
      <c r="I490" s="25">
        <f>SUM(I492)</f>
        <v>537500</v>
      </c>
      <c r="J490" s="44">
        <f>SUM(I490/G490)*100</f>
        <v>100</v>
      </c>
    </row>
    <row r="491" spans="1:10" ht="15.75">
      <c r="A491" s="14"/>
      <c r="B491" s="14"/>
      <c r="C491" s="27"/>
      <c r="D491" s="27"/>
      <c r="E491" s="27"/>
      <c r="F491" s="27"/>
      <c r="G491" s="27"/>
      <c r="H491" s="27"/>
      <c r="I491" s="27"/>
      <c r="J491" s="27"/>
    </row>
    <row r="492" spans="1:10" ht="15.75">
      <c r="A492" s="43"/>
      <c r="B492" s="28" t="s">
        <v>136</v>
      </c>
      <c r="C492" s="31">
        <f>414000+186000-100000</f>
        <v>500000</v>
      </c>
      <c r="D492" s="31">
        <v>517500</v>
      </c>
      <c r="E492" s="31">
        <v>399828.48</v>
      </c>
      <c r="F492" s="30">
        <f>SUM(E492/D492)*100</f>
        <v>77.2615420289855</v>
      </c>
      <c r="G492" s="31">
        <v>537500</v>
      </c>
      <c r="H492" s="31">
        <f>446000+111500</f>
        <v>557500</v>
      </c>
      <c r="I492" s="31">
        <f>446000+111500-20000</f>
        <v>537500</v>
      </c>
      <c r="J492" s="30">
        <f>SUM(I492/G492)*100</f>
        <v>100</v>
      </c>
    </row>
    <row r="493" spans="1:10" ht="12.75" customHeight="1">
      <c r="A493" s="14"/>
      <c r="B493" s="14"/>
      <c r="C493" s="41"/>
      <c r="D493" s="41"/>
      <c r="E493" s="41"/>
      <c r="F493" s="41"/>
      <c r="G493" s="41"/>
      <c r="H493" s="41"/>
      <c r="I493" s="41"/>
      <c r="J493" s="41"/>
    </row>
    <row r="494" spans="1:10" ht="15.75">
      <c r="A494" s="42">
        <v>85219</v>
      </c>
      <c r="B494" s="43" t="s">
        <v>60</v>
      </c>
      <c r="C494" s="25">
        <f>SUM(C496,C502)</f>
        <v>1467120</v>
      </c>
      <c r="D494" s="25">
        <f>SUM(D496,D502)</f>
        <v>1506920</v>
      </c>
      <c r="E494" s="25">
        <f>SUM(E496,E502)</f>
        <v>1049939.57</v>
      </c>
      <c r="F494" s="44">
        <f>SUM(E494/D494)*100</f>
        <v>69.67453945796724</v>
      </c>
      <c r="G494" s="25">
        <f>SUM(G496,G502)</f>
        <v>1489745</v>
      </c>
      <c r="H494" s="25">
        <f>SUM(H496,H502)</f>
        <v>1557491</v>
      </c>
      <c r="I494" s="25">
        <f>SUM(I496,I502)</f>
        <v>1452491</v>
      </c>
      <c r="J494" s="44">
        <f>SUM(I494/G494)*100</f>
        <v>97.49930357208784</v>
      </c>
    </row>
    <row r="495" spans="1:10" ht="12.75" customHeight="1">
      <c r="A495" s="14"/>
      <c r="B495" s="14"/>
      <c r="C495" s="45"/>
      <c r="D495" s="45"/>
      <c r="E495" s="45"/>
      <c r="F495" s="45"/>
      <c r="G495" s="45"/>
      <c r="H495" s="45"/>
      <c r="I495" s="45"/>
      <c r="J495" s="45"/>
    </row>
    <row r="496" spans="1:10" ht="15.75">
      <c r="A496" s="14"/>
      <c r="B496" s="28" t="s">
        <v>20</v>
      </c>
      <c r="C496" s="31">
        <f>SUM(C498:C501)</f>
        <v>1450000</v>
      </c>
      <c r="D496" s="31">
        <f>SUM(D498:D501)</f>
        <v>1489800</v>
      </c>
      <c r="E496" s="31">
        <f>SUM(E498:E501)</f>
        <v>1049939.57</v>
      </c>
      <c r="F496" s="30">
        <f>SUM(E496/D496)*100</f>
        <v>70.4752027117734</v>
      </c>
      <c r="G496" s="31">
        <f>SUM(G498:G501)</f>
        <v>1489745</v>
      </c>
      <c r="H496" s="31">
        <f>SUM(H498:H501)</f>
        <v>1557491</v>
      </c>
      <c r="I496" s="31">
        <f>SUM(I498:I501)</f>
        <v>1452491</v>
      </c>
      <c r="J496" s="30">
        <f>SUM(I496/G496)*100</f>
        <v>97.49930357208784</v>
      </c>
    </row>
    <row r="497" spans="1:10" ht="15.75">
      <c r="A497" s="14"/>
      <c r="B497" s="46" t="s">
        <v>3</v>
      </c>
      <c r="C497" s="86"/>
      <c r="D497" s="86"/>
      <c r="E497" s="86"/>
      <c r="F497" s="86"/>
      <c r="G497" s="86"/>
      <c r="H497" s="86"/>
      <c r="I497" s="86"/>
      <c r="J497" s="86"/>
    </row>
    <row r="498" spans="1:10" ht="15.75">
      <c r="A498" s="14"/>
      <c r="B498" s="28" t="s">
        <v>79</v>
      </c>
      <c r="C498" s="31">
        <f>523000+855668-83000</f>
        <v>1295668</v>
      </c>
      <c r="D498" s="31">
        <v>1279168</v>
      </c>
      <c r="E498" s="31">
        <v>927129.78</v>
      </c>
      <c r="F498" s="30">
        <f>SUM(E498/D498)*100</f>
        <v>72.47912549407116</v>
      </c>
      <c r="G498" s="31">
        <v>1279113</v>
      </c>
      <c r="H498" s="31">
        <f>532000+803191</f>
        <v>1335191</v>
      </c>
      <c r="I498" s="31">
        <f>532000+803191-50000</f>
        <v>1285191</v>
      </c>
      <c r="J498" s="30">
        <f>SUM(I498/G498)*100</f>
        <v>100.47517303006069</v>
      </c>
    </row>
    <row r="499" spans="1:10" ht="15.75">
      <c r="A499" s="14"/>
      <c r="B499" s="28" t="s">
        <v>18</v>
      </c>
      <c r="C499" s="31">
        <f>211113-6000-50781</f>
        <v>154332</v>
      </c>
      <c r="D499" s="31">
        <v>156432</v>
      </c>
      <c r="E499" s="31">
        <v>119509.79</v>
      </c>
      <c r="F499" s="30">
        <f>SUM(E499/D499)*100</f>
        <v>76.39727805052674</v>
      </c>
      <c r="G499" s="31">
        <v>156432</v>
      </c>
      <c r="H499" s="31">
        <v>168300</v>
      </c>
      <c r="I499" s="31">
        <f>168300-5000</f>
        <v>163300</v>
      </c>
      <c r="J499" s="30">
        <f>SUM(I499/G499)*100</f>
        <v>104.3904060550271</v>
      </c>
    </row>
    <row r="500" spans="1:10" ht="30.75">
      <c r="A500" s="14"/>
      <c r="B500" s="47" t="s">
        <v>326</v>
      </c>
      <c r="C500" s="31">
        <v>0</v>
      </c>
      <c r="D500" s="31">
        <v>4200</v>
      </c>
      <c r="E500" s="31">
        <v>3300</v>
      </c>
      <c r="F500" s="30">
        <f>SUM(E500/D500)*100</f>
        <v>78.57142857142857</v>
      </c>
      <c r="G500" s="31">
        <v>4200</v>
      </c>
      <c r="H500" s="31">
        <v>4000</v>
      </c>
      <c r="I500" s="31">
        <v>4000</v>
      </c>
      <c r="J500" s="30">
        <f>SUM(I500/G500)*100</f>
        <v>95.23809523809523</v>
      </c>
    </row>
    <row r="501" spans="1:10" ht="30.75">
      <c r="A501" s="14"/>
      <c r="B501" s="89" t="s">
        <v>327</v>
      </c>
      <c r="C501" s="77">
        <v>0</v>
      </c>
      <c r="D501" s="77">
        <v>50000</v>
      </c>
      <c r="E501" s="77">
        <v>0</v>
      </c>
      <c r="F501" s="30">
        <f>SUM(E501/D501)*100</f>
        <v>0</v>
      </c>
      <c r="G501" s="77">
        <v>50000</v>
      </c>
      <c r="H501" s="77">
        <v>50000</v>
      </c>
      <c r="I501" s="77">
        <f>50000-50000</f>
        <v>0</v>
      </c>
      <c r="J501" s="30">
        <v>0</v>
      </c>
    </row>
    <row r="502" spans="1:10" ht="15.75">
      <c r="A502" s="14"/>
      <c r="B502" s="64" t="s">
        <v>141</v>
      </c>
      <c r="C502" s="65">
        <f>SUM(C504)</f>
        <v>17120</v>
      </c>
      <c r="D502" s="65">
        <f>SUM(D504)</f>
        <v>17120</v>
      </c>
      <c r="E502" s="65">
        <f>SUM(E504)</f>
        <v>0</v>
      </c>
      <c r="F502" s="166">
        <f>SUM(E502/D502)*100</f>
        <v>0</v>
      </c>
      <c r="G502" s="65">
        <f>SUM(G504)</f>
        <v>0</v>
      </c>
      <c r="H502" s="65">
        <f>SUM(H504)</f>
        <v>0</v>
      </c>
      <c r="I502" s="65">
        <f>SUM(I504)</f>
        <v>0</v>
      </c>
      <c r="J502" s="166">
        <v>0</v>
      </c>
    </row>
    <row r="503" spans="1:10" ht="15.75">
      <c r="A503" s="14"/>
      <c r="B503" s="64" t="s">
        <v>3</v>
      </c>
      <c r="C503" s="49"/>
      <c r="D503" s="49"/>
      <c r="E503" s="49"/>
      <c r="F503" s="49"/>
      <c r="G503" s="49"/>
      <c r="H503" s="49"/>
      <c r="I503" s="49"/>
      <c r="J503" s="49"/>
    </row>
    <row r="504" spans="1:10" ht="30.75">
      <c r="A504" s="14"/>
      <c r="B504" s="48" t="s">
        <v>325</v>
      </c>
      <c r="C504" s="49">
        <v>17120</v>
      </c>
      <c r="D504" s="49">
        <v>17120</v>
      </c>
      <c r="E504" s="49">
        <v>0</v>
      </c>
      <c r="F504" s="30">
        <f>SUM(E504/D504)*100</f>
        <v>0</v>
      </c>
      <c r="G504" s="49">
        <v>0</v>
      </c>
      <c r="H504" s="49">
        <v>0</v>
      </c>
      <c r="I504" s="49">
        <v>0</v>
      </c>
      <c r="J504" s="30">
        <v>0</v>
      </c>
    </row>
    <row r="505" spans="1:10" ht="12.75" customHeight="1">
      <c r="A505" s="14"/>
      <c r="B505" s="35"/>
      <c r="C505" s="37"/>
      <c r="D505" s="37"/>
      <c r="E505" s="37"/>
      <c r="F505" s="37"/>
      <c r="G505" s="37"/>
      <c r="H505" s="37"/>
      <c r="I505" s="37"/>
      <c r="J505" s="37"/>
    </row>
    <row r="506" spans="1:10" ht="30" customHeight="1">
      <c r="A506" s="42">
        <v>85220</v>
      </c>
      <c r="B506" s="95" t="s">
        <v>153</v>
      </c>
      <c r="C506" s="25">
        <f>SUM(C508)</f>
        <v>85000</v>
      </c>
      <c r="D506" s="25">
        <f>SUM(D508)</f>
        <v>90999</v>
      </c>
      <c r="E506" s="25">
        <f>SUM(E508)</f>
        <v>42543.38</v>
      </c>
      <c r="F506" s="44">
        <f>SUM(E506/D506)*100</f>
        <v>46.751480785503134</v>
      </c>
      <c r="G506" s="25">
        <f>SUM(G508)</f>
        <v>90999</v>
      </c>
      <c r="H506" s="25">
        <f>SUM(H508)</f>
        <v>70400</v>
      </c>
      <c r="I506" s="25">
        <f>SUM(I508)</f>
        <v>70400</v>
      </c>
      <c r="J506" s="44">
        <f>SUM(I506/G506)*100</f>
        <v>77.36348751085177</v>
      </c>
    </row>
    <row r="507" spans="1:10" ht="15.75">
      <c r="A507" s="84"/>
      <c r="B507" s="64"/>
      <c r="C507" s="27"/>
      <c r="D507" s="27"/>
      <c r="E507" s="27"/>
      <c r="F507" s="27"/>
      <c r="G507" s="27"/>
      <c r="H507" s="27"/>
      <c r="I507" s="27"/>
      <c r="J507" s="27"/>
    </row>
    <row r="508" spans="1:10" ht="30.75">
      <c r="A508" s="84"/>
      <c r="B508" s="48" t="s">
        <v>328</v>
      </c>
      <c r="C508" s="49">
        <f>90000-5000</f>
        <v>85000</v>
      </c>
      <c r="D508" s="49">
        <v>90999</v>
      </c>
      <c r="E508" s="49">
        <v>42543.38</v>
      </c>
      <c r="F508" s="167">
        <f>SUM(E508/D508)*100</f>
        <v>46.751480785503134</v>
      </c>
      <c r="G508" s="49">
        <v>90999</v>
      </c>
      <c r="H508" s="49">
        <v>70400</v>
      </c>
      <c r="I508" s="49">
        <v>70400</v>
      </c>
      <c r="J508" s="167">
        <f>SUM(I508/G508)*100</f>
        <v>77.36348751085177</v>
      </c>
    </row>
    <row r="509" spans="1:10" ht="15.75">
      <c r="A509" s="84"/>
      <c r="B509" s="48" t="s">
        <v>3</v>
      </c>
      <c r="C509" s="49"/>
      <c r="D509" s="49"/>
      <c r="E509" s="49"/>
      <c r="F509" s="49"/>
      <c r="G509" s="49"/>
      <c r="H509" s="49"/>
      <c r="I509" s="49"/>
      <c r="J509" s="49"/>
    </row>
    <row r="510" spans="1:10" ht="14.25" customHeight="1">
      <c r="A510" s="84"/>
      <c r="B510" s="47" t="s">
        <v>89</v>
      </c>
      <c r="C510" s="31">
        <v>83160</v>
      </c>
      <c r="D510" s="31">
        <v>79739</v>
      </c>
      <c r="E510" s="31">
        <v>36842</v>
      </c>
      <c r="F510" s="30">
        <f>SUM(E510/D510)*100</f>
        <v>46.203238064184404</v>
      </c>
      <c r="G510" s="31">
        <v>79739</v>
      </c>
      <c r="H510" s="31">
        <v>56000</v>
      </c>
      <c r="I510" s="31">
        <v>56000</v>
      </c>
      <c r="J510" s="30">
        <f>SUM(I510/G510)*100</f>
        <v>70.22912251219604</v>
      </c>
    </row>
    <row r="511" spans="1:10" ht="12.75" customHeight="1">
      <c r="A511" s="14"/>
      <c r="B511" s="14"/>
      <c r="C511" s="41"/>
      <c r="D511" s="41"/>
      <c r="E511" s="41"/>
      <c r="F511" s="41"/>
      <c r="G511" s="41"/>
      <c r="H511" s="41"/>
      <c r="I511" s="41"/>
      <c r="J511" s="41"/>
    </row>
    <row r="512" spans="1:10" ht="31.5">
      <c r="A512" s="42">
        <v>85228</v>
      </c>
      <c r="B512" s="78" t="s">
        <v>154</v>
      </c>
      <c r="C512" s="25">
        <f>SUM(C514,C515)</f>
        <v>176000</v>
      </c>
      <c r="D512" s="25">
        <f>SUM(D514,D515)</f>
        <v>176000</v>
      </c>
      <c r="E512" s="25">
        <f>SUM(E514,E515)</f>
        <v>120981.63</v>
      </c>
      <c r="F512" s="44">
        <f>SUM(E512/D512)*100</f>
        <v>68.7395625</v>
      </c>
      <c r="G512" s="25">
        <f>SUM(G514,G515)</f>
        <v>206000</v>
      </c>
      <c r="H512" s="25">
        <f>SUM(H514,H515)</f>
        <v>206000</v>
      </c>
      <c r="I512" s="25">
        <f>SUM(I514,I515)</f>
        <v>186000</v>
      </c>
      <c r="J512" s="44">
        <f>SUM(I512/G512)*100</f>
        <v>90.29126213592234</v>
      </c>
    </row>
    <row r="513" spans="1:10" ht="12.75" customHeight="1">
      <c r="A513" s="14"/>
      <c r="B513" s="14"/>
      <c r="C513" s="27"/>
      <c r="D513" s="27"/>
      <c r="E513" s="27"/>
      <c r="F513" s="27"/>
      <c r="G513" s="27"/>
      <c r="H513" s="27"/>
      <c r="I513" s="27"/>
      <c r="J513" s="27"/>
    </row>
    <row r="514" spans="1:10" ht="13.5" customHeight="1">
      <c r="A514" s="14"/>
      <c r="B514" s="28" t="s">
        <v>6</v>
      </c>
      <c r="C514" s="31">
        <f>250000-70000-30000</f>
        <v>150000</v>
      </c>
      <c r="D514" s="31">
        <f>250000-70000-30000</f>
        <v>150000</v>
      </c>
      <c r="E514" s="31">
        <v>105402.63</v>
      </c>
      <c r="F514" s="30">
        <f>SUM(E514/D514)*100</f>
        <v>70.26841999999999</v>
      </c>
      <c r="G514" s="31">
        <v>180000</v>
      </c>
      <c r="H514" s="31">
        <v>180000</v>
      </c>
      <c r="I514" s="31">
        <f>180000-20000</f>
        <v>160000</v>
      </c>
      <c r="J514" s="30">
        <f>SUM(I514/G514)*100</f>
        <v>88.88888888888889</v>
      </c>
    </row>
    <row r="515" spans="1:10" ht="14.25" customHeight="1">
      <c r="A515" s="14"/>
      <c r="B515" s="28" t="s">
        <v>7</v>
      </c>
      <c r="C515" s="31">
        <v>26000</v>
      </c>
      <c r="D515" s="31">
        <v>26000</v>
      </c>
      <c r="E515" s="31">
        <v>15579</v>
      </c>
      <c r="F515" s="30">
        <f>SUM(E515/D515)*100</f>
        <v>59.91923076923077</v>
      </c>
      <c r="G515" s="31">
        <v>26000</v>
      </c>
      <c r="H515" s="31">
        <v>26000</v>
      </c>
      <c r="I515" s="31">
        <v>26000</v>
      </c>
      <c r="J515" s="30">
        <f>SUM(I515/G515)*100</f>
        <v>100</v>
      </c>
    </row>
    <row r="516" spans="1:10" ht="14.25" customHeight="1">
      <c r="A516" s="14"/>
      <c r="B516" s="46"/>
      <c r="C516" s="49"/>
      <c r="D516" s="49"/>
      <c r="E516" s="86"/>
      <c r="F516" s="167"/>
      <c r="G516" s="49"/>
      <c r="H516" s="49"/>
      <c r="I516" s="49"/>
      <c r="J516" s="167"/>
    </row>
    <row r="517" spans="1:10" ht="14.25" customHeight="1">
      <c r="A517" s="42">
        <v>85278</v>
      </c>
      <c r="B517" s="78" t="s">
        <v>329</v>
      </c>
      <c r="C517" s="25">
        <f>SUM(C519,C520)</f>
        <v>0</v>
      </c>
      <c r="D517" s="25">
        <f>SUM(D519)</f>
        <v>4000</v>
      </c>
      <c r="E517" s="25">
        <f>SUM(E519)</f>
        <v>4000</v>
      </c>
      <c r="F517" s="44">
        <f>SUM(E517/D517)*100</f>
        <v>100</v>
      </c>
      <c r="G517" s="25">
        <f>SUM(G519)</f>
        <v>4000</v>
      </c>
      <c r="H517" s="25">
        <f>SUM(H519)</f>
        <v>0</v>
      </c>
      <c r="I517" s="25">
        <f>SUM(I519)</f>
        <v>0</v>
      </c>
      <c r="J517" s="44">
        <f>SUM(I517/G517)*100</f>
        <v>0</v>
      </c>
    </row>
    <row r="518" spans="1:10" ht="14.25" customHeight="1">
      <c r="A518" s="14"/>
      <c r="B518" s="46"/>
      <c r="C518" s="49"/>
      <c r="D518" s="49"/>
      <c r="E518" s="86"/>
      <c r="F518" s="167"/>
      <c r="G518" s="49"/>
      <c r="H518" s="49"/>
      <c r="I518" s="49"/>
      <c r="J518" s="167"/>
    </row>
    <row r="519" spans="1:10" ht="14.25" customHeight="1">
      <c r="A519" s="14"/>
      <c r="B519" s="46" t="s">
        <v>330</v>
      </c>
      <c r="C519" s="49"/>
      <c r="D519" s="49">
        <v>4000</v>
      </c>
      <c r="E519" s="49">
        <v>4000</v>
      </c>
      <c r="F519" s="30">
        <f>SUM(E519/D519)*100</f>
        <v>100</v>
      </c>
      <c r="G519" s="49">
        <v>4000</v>
      </c>
      <c r="H519" s="49">
        <v>0</v>
      </c>
      <c r="I519" s="49">
        <v>0</v>
      </c>
      <c r="J519" s="167">
        <v>0</v>
      </c>
    </row>
    <row r="520" spans="1:10" ht="15.75">
      <c r="A520" s="14"/>
      <c r="B520" s="90"/>
      <c r="C520" s="72"/>
      <c r="D520" s="72"/>
      <c r="E520" s="72"/>
      <c r="F520" s="72"/>
      <c r="G520" s="72"/>
      <c r="H520" s="72"/>
      <c r="I520" s="72"/>
      <c r="J520" s="72"/>
    </row>
    <row r="521" spans="1:10" ht="15.75">
      <c r="A521" s="43">
        <v>85295</v>
      </c>
      <c r="B521" s="95" t="s">
        <v>26</v>
      </c>
      <c r="C521" s="153">
        <f>SUM(C523:C524)</f>
        <v>361000</v>
      </c>
      <c r="D521" s="153">
        <f>SUM(D523:D524)</f>
        <v>831190.47</v>
      </c>
      <c r="E521" s="153">
        <f>SUM(E523:E524)</f>
        <v>436970.87</v>
      </c>
      <c r="F521" s="44">
        <f>SUM(E521/D521)*100</f>
        <v>52.571689134020026</v>
      </c>
      <c r="G521" s="153">
        <f>SUM(G523:G524)</f>
        <v>831190.47</v>
      </c>
      <c r="H521" s="153">
        <f>SUM(H523:H524)</f>
        <v>316000</v>
      </c>
      <c r="I521" s="153">
        <f>SUM(I523:I524)</f>
        <v>316000</v>
      </c>
      <c r="J521" s="44">
        <f>SUM(I521/G521)*100</f>
        <v>38.017760237313595</v>
      </c>
    </row>
    <row r="522" spans="1:10" ht="15.75">
      <c r="A522" s="14"/>
      <c r="B522" s="48"/>
      <c r="C522" s="49"/>
      <c r="D522" s="49"/>
      <c r="E522" s="49"/>
      <c r="F522" s="49"/>
      <c r="G522" s="49"/>
      <c r="H522" s="49"/>
      <c r="I522" s="49"/>
      <c r="J522" s="49"/>
    </row>
    <row r="523" spans="1:10" ht="30.75">
      <c r="A523" s="14"/>
      <c r="B523" s="47" t="s">
        <v>149</v>
      </c>
      <c r="C523" s="31">
        <v>361000</v>
      </c>
      <c r="D523" s="31">
        <v>405000</v>
      </c>
      <c r="E523" s="31">
        <v>277324.92</v>
      </c>
      <c r="F523" s="30">
        <f>SUM(E523/D523)*100</f>
        <v>68.47528888888888</v>
      </c>
      <c r="G523" s="31">
        <v>405000</v>
      </c>
      <c r="H523" s="31">
        <v>316000</v>
      </c>
      <c r="I523" s="31">
        <v>316000</v>
      </c>
      <c r="J523" s="30">
        <f>SUM(I523/G523)*100</f>
        <v>78.02469135802468</v>
      </c>
    </row>
    <row r="524" spans="1:10" ht="15.75">
      <c r="A524" s="14"/>
      <c r="B524" s="90" t="s">
        <v>163</v>
      </c>
      <c r="C524" s="72">
        <v>0</v>
      </c>
      <c r="D524" s="72">
        <v>426190.47</v>
      </c>
      <c r="E524" s="72">
        <v>159645.95</v>
      </c>
      <c r="F524" s="72">
        <v>0</v>
      </c>
      <c r="G524" s="72">
        <v>426190.47</v>
      </c>
      <c r="H524" s="72">
        <v>0</v>
      </c>
      <c r="I524" s="72">
        <v>0</v>
      </c>
      <c r="J524" s="72">
        <v>0</v>
      </c>
    </row>
    <row r="525" spans="1:10" ht="15.75">
      <c r="A525" s="14"/>
      <c r="B525" s="48" t="s">
        <v>102</v>
      </c>
      <c r="C525" s="49"/>
      <c r="D525" s="49"/>
      <c r="E525" s="49"/>
      <c r="F525" s="49"/>
      <c r="G525" s="49"/>
      <c r="H525" s="49"/>
      <c r="I525" s="49"/>
      <c r="J525" s="49"/>
    </row>
    <row r="526" spans="1:10" ht="15.75">
      <c r="A526" s="43"/>
      <c r="B526" s="47" t="s">
        <v>89</v>
      </c>
      <c r="C526" s="31"/>
      <c r="D526" s="31">
        <v>266958.47</v>
      </c>
      <c r="E526" s="31">
        <v>130516.07</v>
      </c>
      <c r="F526" s="30">
        <f>SUM(E526/D526)*100</f>
        <v>48.89002772603545</v>
      </c>
      <c r="G526" s="31">
        <v>266958.47</v>
      </c>
      <c r="H526" s="31">
        <v>0</v>
      </c>
      <c r="I526" s="31">
        <v>0</v>
      </c>
      <c r="J526" s="31">
        <v>0</v>
      </c>
    </row>
    <row r="527" spans="1:10" ht="16.5" thickBot="1">
      <c r="A527" s="32"/>
      <c r="B527" s="100"/>
      <c r="C527" s="81"/>
      <c r="D527" s="81"/>
      <c r="E527" s="81"/>
      <c r="F527" s="81"/>
      <c r="G527" s="81"/>
      <c r="H527" s="81"/>
      <c r="I527" s="81"/>
      <c r="J527" s="81"/>
    </row>
    <row r="528" spans="1:10" ht="15.75">
      <c r="A528" s="2"/>
      <c r="B528" s="3"/>
      <c r="C528" s="4"/>
      <c r="D528" s="4"/>
      <c r="E528" s="4"/>
      <c r="F528" s="4"/>
      <c r="G528" s="4"/>
      <c r="H528" s="4"/>
      <c r="I528" s="4"/>
      <c r="J528" s="4"/>
    </row>
    <row r="529" spans="1:10" ht="15.75">
      <c r="A529" s="5" t="s">
        <v>22</v>
      </c>
      <c r="B529" s="6" t="s">
        <v>1</v>
      </c>
      <c r="C529" s="7" t="s">
        <v>120</v>
      </c>
      <c r="D529" s="7" t="s">
        <v>120</v>
      </c>
      <c r="E529" s="7" t="s">
        <v>146</v>
      </c>
      <c r="F529" s="7" t="s">
        <v>21</v>
      </c>
      <c r="G529" s="7" t="s">
        <v>211</v>
      </c>
      <c r="H529" s="7" t="s">
        <v>216</v>
      </c>
      <c r="I529" s="7" t="s">
        <v>213</v>
      </c>
      <c r="J529" s="7" t="s">
        <v>21</v>
      </c>
    </row>
    <row r="530" spans="1:10" ht="15.75">
      <c r="A530" s="5" t="s">
        <v>24</v>
      </c>
      <c r="B530" s="8"/>
      <c r="C530" s="7" t="s">
        <v>181</v>
      </c>
      <c r="D530" s="7" t="s">
        <v>210</v>
      </c>
      <c r="E530" s="7" t="s">
        <v>210</v>
      </c>
      <c r="F530" s="7" t="s">
        <v>10</v>
      </c>
      <c r="G530" s="7" t="s">
        <v>212</v>
      </c>
      <c r="H530" s="7" t="s">
        <v>217</v>
      </c>
      <c r="I530" s="7" t="s">
        <v>214</v>
      </c>
      <c r="J530" s="7" t="s">
        <v>10</v>
      </c>
    </row>
    <row r="531" spans="1:10" ht="16.5" thickBot="1">
      <c r="A531" s="9"/>
      <c r="B531" s="10"/>
      <c r="C531" s="11" t="s">
        <v>140</v>
      </c>
      <c r="D531" s="11" t="s">
        <v>140</v>
      </c>
      <c r="E531" s="11" t="s">
        <v>140</v>
      </c>
      <c r="F531" s="11"/>
      <c r="G531" s="11" t="s">
        <v>215</v>
      </c>
      <c r="H531" s="11" t="s">
        <v>140</v>
      </c>
      <c r="I531" s="11" t="s">
        <v>140</v>
      </c>
      <c r="J531" s="11"/>
    </row>
    <row r="532" spans="1:10" ht="12.75" customHeight="1">
      <c r="A532" s="35"/>
      <c r="B532" s="51"/>
      <c r="C532" s="37"/>
      <c r="D532" s="37"/>
      <c r="E532" s="37"/>
      <c r="F532" s="37"/>
      <c r="G532" s="37"/>
      <c r="H532" s="37"/>
      <c r="I532" s="37"/>
      <c r="J532" s="37"/>
    </row>
    <row r="533" spans="1:10" ht="32.25" thickBot="1">
      <c r="A533" s="38">
        <v>853</v>
      </c>
      <c r="B533" s="119" t="s">
        <v>61</v>
      </c>
      <c r="C533" s="40">
        <f>SUM(C535,C544)</f>
        <v>1219693</v>
      </c>
      <c r="D533" s="40">
        <f>SUM(D535,D544)</f>
        <v>1320413.26</v>
      </c>
      <c r="E533" s="40">
        <f>SUM(E535,E544)</f>
        <v>991599.95</v>
      </c>
      <c r="F533" s="19">
        <f>SUM(E533/D533)*100</f>
        <v>75.09769706493253</v>
      </c>
      <c r="G533" s="40">
        <f>SUM(G535,G544)</f>
        <v>1308602.1500000001</v>
      </c>
      <c r="H533" s="40">
        <f>SUM(H535,H544)</f>
        <v>1065300</v>
      </c>
      <c r="I533" s="40">
        <f>SUM(I535,I544)</f>
        <v>1065300</v>
      </c>
      <c r="J533" s="19">
        <f>SUM(I533/G533)*100</f>
        <v>81.40747743689707</v>
      </c>
    </row>
    <row r="534" spans="1:10" ht="12.75" customHeight="1" thickTop="1">
      <c r="A534" s="14"/>
      <c r="B534" s="51"/>
      <c r="C534" s="41"/>
      <c r="D534" s="41"/>
      <c r="E534" s="41"/>
      <c r="F534" s="41"/>
      <c r="G534" s="41"/>
      <c r="H534" s="41"/>
      <c r="I534" s="41"/>
      <c r="J534" s="41"/>
    </row>
    <row r="535" spans="1:10" ht="15.75">
      <c r="A535" s="42">
        <v>85305</v>
      </c>
      <c r="B535" s="43" t="s">
        <v>62</v>
      </c>
      <c r="C535" s="25">
        <f>SUM(C537)</f>
        <v>1109162</v>
      </c>
      <c r="D535" s="25">
        <f>SUM(D537)</f>
        <v>1193662</v>
      </c>
      <c r="E535" s="25">
        <f>SUM(E537)</f>
        <v>876044.39</v>
      </c>
      <c r="F535" s="44">
        <f>SUM(E535/D535)*100</f>
        <v>73.39132769577988</v>
      </c>
      <c r="G535" s="25">
        <f>SUM(G537)</f>
        <v>1191728.59</v>
      </c>
      <c r="H535" s="25">
        <f>SUM(H537)</f>
        <v>1065300</v>
      </c>
      <c r="I535" s="25">
        <f>SUM(I537)</f>
        <v>1065300</v>
      </c>
      <c r="J535" s="44">
        <f>SUM(I535/G535)*100</f>
        <v>89.39115910611828</v>
      </c>
    </row>
    <row r="536" spans="1:10" ht="12.75" customHeight="1">
      <c r="A536" s="14"/>
      <c r="B536" s="14"/>
      <c r="C536" s="37"/>
      <c r="D536" s="37"/>
      <c r="E536" s="37"/>
      <c r="F536" s="37"/>
      <c r="G536" s="37"/>
      <c r="H536" s="37"/>
      <c r="I536" s="37"/>
      <c r="J536" s="37"/>
    </row>
    <row r="537" spans="1:10" ht="15.75">
      <c r="A537" s="14"/>
      <c r="B537" s="28" t="s">
        <v>63</v>
      </c>
      <c r="C537" s="31">
        <f>SUM(C538:C540)</f>
        <v>1109162</v>
      </c>
      <c r="D537" s="31">
        <f>SUM(D538:D540)</f>
        <v>1193662</v>
      </c>
      <c r="E537" s="31">
        <f>SUM(E538:E540)</f>
        <v>876044.39</v>
      </c>
      <c r="F537" s="30">
        <f>SUM(E537/D537)*100</f>
        <v>73.39132769577988</v>
      </c>
      <c r="G537" s="31">
        <f>SUM(G538:G540)</f>
        <v>1191728.59</v>
      </c>
      <c r="H537" s="31">
        <f>SUM(H538:H540)</f>
        <v>1065300</v>
      </c>
      <c r="I537" s="31">
        <f>SUM(I538:I540)</f>
        <v>1065300</v>
      </c>
      <c r="J537" s="30">
        <f>SUM(I537/G537)*100</f>
        <v>89.39115910611828</v>
      </c>
    </row>
    <row r="538" spans="1:10" ht="15.75">
      <c r="A538" s="123"/>
      <c r="B538" s="46" t="s">
        <v>99</v>
      </c>
      <c r="C538" s="49">
        <f>826200</f>
        <v>826200</v>
      </c>
      <c r="D538" s="49">
        <v>900340</v>
      </c>
      <c r="E538" s="49">
        <v>675758.67</v>
      </c>
      <c r="F538" s="167">
        <f>SUM(E538/D538)*100</f>
        <v>75.05594219961348</v>
      </c>
      <c r="G538" s="49">
        <v>900340</v>
      </c>
      <c r="H538" s="49">
        <v>790300</v>
      </c>
      <c r="I538" s="49">
        <v>790300</v>
      </c>
      <c r="J538" s="167">
        <f>SUM(I538/G538)*100</f>
        <v>87.77795055201368</v>
      </c>
    </row>
    <row r="539" spans="1:10" ht="15.75">
      <c r="A539" s="14"/>
      <c r="B539" s="28" t="s">
        <v>100</v>
      </c>
      <c r="C539" s="31">
        <f>422700-155900-26000+35162</f>
        <v>275962</v>
      </c>
      <c r="D539" s="31">
        <v>286322</v>
      </c>
      <c r="E539" s="31">
        <v>195219.13</v>
      </c>
      <c r="F539" s="30">
        <f>SUM(E539/D539)*100</f>
        <v>68.18167308135595</v>
      </c>
      <c r="G539" s="31">
        <v>286322</v>
      </c>
      <c r="H539" s="31">
        <v>275000</v>
      </c>
      <c r="I539" s="31">
        <v>275000</v>
      </c>
      <c r="J539" s="30">
        <f>SUM(I539/G539)*100</f>
        <v>96.04571077318543</v>
      </c>
    </row>
    <row r="540" spans="1:10" ht="15.75">
      <c r="A540" s="14"/>
      <c r="B540" s="112" t="s">
        <v>127</v>
      </c>
      <c r="C540" s="65">
        <f>SUM(C542:C542)</f>
        <v>7000</v>
      </c>
      <c r="D540" s="65">
        <f>SUM(D542:D542)</f>
        <v>7000</v>
      </c>
      <c r="E540" s="65">
        <f>SUM(E542:E542)</f>
        <v>5066.59</v>
      </c>
      <c r="F540" s="166">
        <f>SUM(E540/D540)*100</f>
        <v>72.37985714285713</v>
      </c>
      <c r="G540" s="65">
        <f>SUM(G542:G542)</f>
        <v>5066.59</v>
      </c>
      <c r="H540" s="65">
        <f>SUM(H542:H542)</f>
        <v>0</v>
      </c>
      <c r="I540" s="65">
        <f>SUM(I542:I542)</f>
        <v>0</v>
      </c>
      <c r="J540" s="166">
        <f>SUM(I540/G540)*100</f>
        <v>0</v>
      </c>
    </row>
    <row r="541" spans="1:10" ht="15.75">
      <c r="A541" s="14"/>
      <c r="B541" s="112" t="s">
        <v>3</v>
      </c>
      <c r="C541" s="49"/>
      <c r="D541" s="49"/>
      <c r="E541" s="49"/>
      <c r="F541" s="49"/>
      <c r="G541" s="49"/>
      <c r="H541" s="49"/>
      <c r="I541" s="49"/>
      <c r="J541" s="49"/>
    </row>
    <row r="542" spans="1:10" ht="15.75">
      <c r="A542" s="14"/>
      <c r="B542" s="62" t="s">
        <v>331</v>
      </c>
      <c r="C542" s="49">
        <v>7000</v>
      </c>
      <c r="D542" s="49">
        <v>7000</v>
      </c>
      <c r="E542" s="49">
        <v>5066.59</v>
      </c>
      <c r="F542" s="30">
        <f>SUM(E542/D542)*100</f>
        <v>72.37985714285713</v>
      </c>
      <c r="G542" s="49">
        <v>5066.59</v>
      </c>
      <c r="H542" s="49">
        <v>0</v>
      </c>
      <c r="I542" s="49">
        <v>0</v>
      </c>
      <c r="J542" s="30">
        <f>SUM(I542/G542)*100</f>
        <v>0</v>
      </c>
    </row>
    <row r="543" spans="1:10" ht="15.75">
      <c r="A543" s="14"/>
      <c r="B543" s="88"/>
      <c r="C543" s="72"/>
      <c r="D543" s="72"/>
      <c r="E543" s="72"/>
      <c r="F543" s="72"/>
      <c r="G543" s="72"/>
      <c r="H543" s="72"/>
      <c r="I543" s="72"/>
      <c r="J543" s="72"/>
    </row>
    <row r="544" spans="1:10" ht="15.75">
      <c r="A544" s="43">
        <v>85395</v>
      </c>
      <c r="B544" s="125" t="s">
        <v>26</v>
      </c>
      <c r="C544" s="153">
        <f>SUM(C546:C547,C548)</f>
        <v>110531</v>
      </c>
      <c r="D544" s="153">
        <f>SUM(D546:D547,D548)</f>
        <v>126751.26</v>
      </c>
      <c r="E544" s="153">
        <f>SUM(E546:E547,E548)</f>
        <v>115555.56</v>
      </c>
      <c r="F544" s="44">
        <f>SUM(E544/D544)*100</f>
        <v>91.16718839718044</v>
      </c>
      <c r="G544" s="153">
        <f>SUM(G546:G547,G548)</f>
        <v>116873.56</v>
      </c>
      <c r="H544" s="153">
        <f>SUM(H546:H547,H548)</f>
        <v>0</v>
      </c>
      <c r="I544" s="153">
        <f>SUM(I546:I547,I548)</f>
        <v>0</v>
      </c>
      <c r="J544" s="44">
        <f>SUM(I544/G544)*100</f>
        <v>0</v>
      </c>
    </row>
    <row r="545" spans="1:10" ht="15.75">
      <c r="A545" s="14"/>
      <c r="B545" s="88"/>
      <c r="C545" s="72"/>
      <c r="D545" s="72"/>
      <c r="E545" s="57"/>
      <c r="F545" s="72"/>
      <c r="G545" s="57"/>
      <c r="H545" s="57"/>
      <c r="I545" s="57"/>
      <c r="J545" s="72"/>
    </row>
    <row r="546" spans="1:10" ht="15.75">
      <c r="A546" s="14"/>
      <c r="B546" s="47" t="s">
        <v>161</v>
      </c>
      <c r="C546" s="31">
        <v>110531</v>
      </c>
      <c r="D546" s="31">
        <v>123702.26</v>
      </c>
      <c r="E546" s="31">
        <v>115555.56</v>
      </c>
      <c r="F546" s="30">
        <f>SUM(E546/D546)*100</f>
        <v>93.4142674515405</v>
      </c>
      <c r="G546" s="31">
        <v>115555.56</v>
      </c>
      <c r="H546" s="31">
        <v>0</v>
      </c>
      <c r="I546" s="31">
        <v>0</v>
      </c>
      <c r="J546" s="30">
        <f>SUM(I546/G546)*100</f>
        <v>0</v>
      </c>
    </row>
    <row r="547" spans="1:10" ht="45.75">
      <c r="A547" s="14"/>
      <c r="B547" s="89" t="s">
        <v>319</v>
      </c>
      <c r="C547" s="159">
        <v>0</v>
      </c>
      <c r="D547" s="159">
        <v>2145</v>
      </c>
      <c r="E547" s="77">
        <v>0</v>
      </c>
      <c r="F547" s="30">
        <f>SUM(E547/D547)*100</f>
        <v>0</v>
      </c>
      <c r="G547" s="77">
        <v>1318</v>
      </c>
      <c r="H547" s="77">
        <v>0</v>
      </c>
      <c r="I547" s="77">
        <v>0</v>
      </c>
      <c r="J547" s="30">
        <f>SUM(I547/G547)*100</f>
        <v>0</v>
      </c>
    </row>
    <row r="548" spans="1:10" ht="15.75">
      <c r="A548" s="14"/>
      <c r="B548" s="64" t="s">
        <v>141</v>
      </c>
      <c r="C548" s="65">
        <f>SUM(C550)</f>
        <v>0</v>
      </c>
      <c r="D548" s="65">
        <f>SUM(D550)</f>
        <v>904</v>
      </c>
      <c r="E548" s="65">
        <f>SUM(E550)</f>
        <v>0</v>
      </c>
      <c r="F548" s="166">
        <f>SUM(E548/D548)*100</f>
        <v>0</v>
      </c>
      <c r="G548" s="65">
        <f>SUM(G550)</f>
        <v>0</v>
      </c>
      <c r="H548" s="65">
        <f>SUM(H550)</f>
        <v>0</v>
      </c>
      <c r="I548" s="65">
        <f>SUM(I550)</f>
        <v>0</v>
      </c>
      <c r="J548" s="166">
        <v>0</v>
      </c>
    </row>
    <row r="549" spans="1:10" ht="15.75">
      <c r="A549" s="14"/>
      <c r="B549" s="64" t="s">
        <v>3</v>
      </c>
      <c r="C549" s="49"/>
      <c r="D549" s="49"/>
      <c r="E549" s="86"/>
      <c r="F549" s="49"/>
      <c r="G549" s="86"/>
      <c r="H549" s="86"/>
      <c r="I549" s="86"/>
      <c r="J549" s="49"/>
    </row>
    <row r="550" spans="1:10" ht="30.75">
      <c r="A550" s="43"/>
      <c r="B550" s="47" t="s">
        <v>209</v>
      </c>
      <c r="C550" s="31">
        <v>0</v>
      </c>
      <c r="D550" s="31">
        <v>904</v>
      </c>
      <c r="E550" s="31">
        <v>0</v>
      </c>
      <c r="F550" s="30">
        <f>SUM(E550/D550)*100</f>
        <v>0</v>
      </c>
      <c r="G550" s="31">
        <v>0</v>
      </c>
      <c r="H550" s="31">
        <v>0</v>
      </c>
      <c r="I550" s="31">
        <v>0</v>
      </c>
      <c r="J550" s="30">
        <v>0</v>
      </c>
    </row>
    <row r="551" spans="1:10" ht="15.75">
      <c r="A551" s="32"/>
      <c r="B551" s="87"/>
      <c r="C551" s="106"/>
      <c r="D551" s="106"/>
      <c r="E551" s="106"/>
      <c r="F551" s="106"/>
      <c r="G551" s="106"/>
      <c r="H551" s="106"/>
      <c r="I551" s="106"/>
      <c r="J551" s="106"/>
    </row>
    <row r="552" spans="1:10" ht="12.75" customHeight="1">
      <c r="A552" s="35"/>
      <c r="B552" s="35"/>
      <c r="C552" s="37"/>
      <c r="D552" s="37"/>
      <c r="E552" s="37"/>
      <c r="F552" s="37"/>
      <c r="G552" s="37"/>
      <c r="H552" s="37"/>
      <c r="I552" s="37"/>
      <c r="J552" s="37"/>
    </row>
    <row r="553" spans="1:10" ht="16.5" thickBot="1">
      <c r="A553" s="38">
        <v>854</v>
      </c>
      <c r="B553" s="119" t="s">
        <v>64</v>
      </c>
      <c r="C553" s="40">
        <f>SUM(C555,C562)</f>
        <v>518449</v>
      </c>
      <c r="D553" s="40">
        <f>SUM(D555,D562)</f>
        <v>765348</v>
      </c>
      <c r="E553" s="40">
        <f>SUM(E555,E562)</f>
        <v>444962.94999999995</v>
      </c>
      <c r="F553" s="19">
        <f>SUM(E553/D553)*100</f>
        <v>58.13864412006041</v>
      </c>
      <c r="G553" s="40">
        <f>SUM(G555,G562)</f>
        <v>726020.4</v>
      </c>
      <c r="H553" s="40">
        <f>SUM(H555,H562)</f>
        <v>643210</v>
      </c>
      <c r="I553" s="40">
        <f>SUM(I555,I562)</f>
        <v>635110</v>
      </c>
      <c r="J553" s="19">
        <f>SUM(I553/G553)*100</f>
        <v>87.47825818668456</v>
      </c>
    </row>
    <row r="554" spans="1:10" ht="12.75" customHeight="1" thickTop="1">
      <c r="A554" s="14"/>
      <c r="B554" s="124"/>
      <c r="C554" s="27"/>
      <c r="D554" s="27"/>
      <c r="E554" s="27"/>
      <c r="F554" s="27"/>
      <c r="G554" s="27"/>
      <c r="H554" s="27"/>
      <c r="I554" s="27"/>
      <c r="J554" s="27"/>
    </row>
    <row r="555" spans="1:10" ht="15.75">
      <c r="A555" s="42">
        <v>85401</v>
      </c>
      <c r="B555" s="110" t="s">
        <v>65</v>
      </c>
      <c r="C555" s="25">
        <f>SUM(C557:C557)</f>
        <v>458449</v>
      </c>
      <c r="D555" s="25">
        <f>SUM(D557:D557)</f>
        <v>456649</v>
      </c>
      <c r="E555" s="25">
        <f>SUM(E557:E557)</f>
        <v>304944.55</v>
      </c>
      <c r="F555" s="44">
        <f>SUM(E555/D555)*100</f>
        <v>66.7787622440868</v>
      </c>
      <c r="G555" s="25">
        <f>SUM(G557:G557)</f>
        <v>456649</v>
      </c>
      <c r="H555" s="25">
        <f>SUM(H557:H557)</f>
        <v>570210</v>
      </c>
      <c r="I555" s="25">
        <f>SUM(I557:I557)</f>
        <v>568110</v>
      </c>
      <c r="J555" s="44">
        <f>SUM(I555/G555)*100</f>
        <v>124.40846251716306</v>
      </c>
    </row>
    <row r="556" spans="1:10" ht="12.75" customHeight="1">
      <c r="A556" s="14"/>
      <c r="B556" s="51"/>
      <c r="C556" s="45"/>
      <c r="D556" s="45"/>
      <c r="E556" s="45"/>
      <c r="F556" s="45"/>
      <c r="G556" s="45"/>
      <c r="H556" s="45"/>
      <c r="I556" s="45"/>
      <c r="J556" s="45"/>
    </row>
    <row r="557" spans="1:10" ht="15.75">
      <c r="A557" s="14"/>
      <c r="B557" s="66" t="s">
        <v>192</v>
      </c>
      <c r="C557" s="49">
        <f>SUM(C559:C560)</f>
        <v>458449</v>
      </c>
      <c r="D557" s="49">
        <f>SUM(D559:D560)</f>
        <v>456649</v>
      </c>
      <c r="E557" s="49">
        <f>SUM(E559:E560)</f>
        <v>304944.55</v>
      </c>
      <c r="F557" s="167">
        <f>SUM(E557/D557)*100</f>
        <v>66.7787622440868</v>
      </c>
      <c r="G557" s="49">
        <f>SUM(G559:G560)</f>
        <v>456649</v>
      </c>
      <c r="H557" s="49">
        <f>SUM(H559:H560)</f>
        <v>570210</v>
      </c>
      <c r="I557" s="49">
        <f>SUM(I559:I560)</f>
        <v>568110</v>
      </c>
      <c r="J557" s="167">
        <f>SUM(I557/G557)*100</f>
        <v>124.40846251716306</v>
      </c>
    </row>
    <row r="558" spans="1:10" ht="15.75">
      <c r="A558" s="14"/>
      <c r="B558" s="66" t="s">
        <v>81</v>
      </c>
      <c r="C558" s="49"/>
      <c r="D558" s="49"/>
      <c r="E558" s="49"/>
      <c r="F558" s="49"/>
      <c r="G558" s="49"/>
      <c r="H558" s="49"/>
      <c r="I558" s="49"/>
      <c r="J558" s="49"/>
    </row>
    <row r="559" spans="1:10" ht="15.75">
      <c r="A559" s="14"/>
      <c r="B559" s="66" t="s">
        <v>78</v>
      </c>
      <c r="C559" s="49">
        <f>419613+8855</f>
        <v>428468</v>
      </c>
      <c r="D559" s="49">
        <v>427636</v>
      </c>
      <c r="E559" s="49">
        <v>283872.55</v>
      </c>
      <c r="F559" s="167">
        <f>SUM(E559/D559)*100</f>
        <v>66.3818177141307</v>
      </c>
      <c r="G559" s="49">
        <v>427636</v>
      </c>
      <c r="H559" s="49">
        <f>533474+5400</f>
        <v>538874</v>
      </c>
      <c r="I559" s="49">
        <f>533474+5400</f>
        <v>538874</v>
      </c>
      <c r="J559" s="167">
        <f>SUM(I559/G559)*100</f>
        <v>126.01230953427682</v>
      </c>
    </row>
    <row r="560" spans="1:10" ht="15.75">
      <c r="A560" s="43"/>
      <c r="B560" s="28" t="s">
        <v>13</v>
      </c>
      <c r="C560" s="31">
        <f>29981-18000-4500+22500</f>
        <v>29981</v>
      </c>
      <c r="D560" s="31">
        <v>29013</v>
      </c>
      <c r="E560" s="31">
        <v>21072</v>
      </c>
      <c r="F560" s="30">
        <f>SUM(E560/D560)*100</f>
        <v>72.6295109089029</v>
      </c>
      <c r="G560" s="31">
        <v>29013</v>
      </c>
      <c r="H560" s="31">
        <v>31336</v>
      </c>
      <c r="I560" s="31">
        <f>31336-2100</f>
        <v>29236</v>
      </c>
      <c r="J560" s="30">
        <f>SUM(I560/G560)*100</f>
        <v>100.76862096301657</v>
      </c>
    </row>
    <row r="561" spans="1:10" ht="15.75">
      <c r="A561" s="35"/>
      <c r="B561" s="35"/>
      <c r="C561" s="45"/>
      <c r="D561" s="45"/>
      <c r="E561" s="45"/>
      <c r="F561" s="45"/>
      <c r="G561" s="45"/>
      <c r="H561" s="45"/>
      <c r="I561" s="45"/>
      <c r="J561" s="45"/>
    </row>
    <row r="562" spans="1:10" ht="15.75">
      <c r="A562" s="42">
        <v>85415</v>
      </c>
      <c r="B562" s="125" t="s">
        <v>91</v>
      </c>
      <c r="C562" s="25">
        <f>SUM(C564:C566)</f>
        <v>60000</v>
      </c>
      <c r="D562" s="25">
        <f>SUM(D564:D566)</f>
        <v>308699</v>
      </c>
      <c r="E562" s="25">
        <f>SUM(E564:E566)</f>
        <v>140018.4</v>
      </c>
      <c r="F562" s="44">
        <f>SUM(E562/D562)*100</f>
        <v>45.35758133327286</v>
      </c>
      <c r="G562" s="25">
        <f>SUM(G564:G566)</f>
        <v>269371.4</v>
      </c>
      <c r="H562" s="25">
        <f>SUM(H564:H566)</f>
        <v>73000</v>
      </c>
      <c r="I562" s="25">
        <f>SUM(I564:I566)</f>
        <v>67000</v>
      </c>
      <c r="J562" s="44">
        <f>SUM(I562/G562)*100</f>
        <v>24.872722196937012</v>
      </c>
    </row>
    <row r="563" spans="1:10" ht="15.75">
      <c r="A563" s="126"/>
      <c r="B563" s="127"/>
      <c r="C563" s="45"/>
      <c r="D563" s="45"/>
      <c r="E563" s="45"/>
      <c r="F563" s="45"/>
      <c r="G563" s="45"/>
      <c r="H563" s="45"/>
      <c r="I563" s="45"/>
      <c r="J563" s="45"/>
    </row>
    <row r="564" spans="1:10" ht="30.75">
      <c r="A564" s="14"/>
      <c r="B564" s="47" t="s">
        <v>193</v>
      </c>
      <c r="C564" s="31">
        <v>31000</v>
      </c>
      <c r="D564" s="31">
        <v>32800</v>
      </c>
      <c r="E564" s="31">
        <v>32800</v>
      </c>
      <c r="F564" s="30">
        <f>SUM(E564/D564)*100</f>
        <v>100</v>
      </c>
      <c r="G564" s="31">
        <v>32800</v>
      </c>
      <c r="H564" s="31">
        <v>31000</v>
      </c>
      <c r="I564" s="31">
        <f>31000-6000</f>
        <v>25000</v>
      </c>
      <c r="J564" s="30">
        <f>SUM(I564/G564)*100</f>
        <v>76.21951219512195</v>
      </c>
    </row>
    <row r="565" spans="1:10" ht="15.75">
      <c r="A565" s="43"/>
      <c r="B565" s="89" t="s">
        <v>194</v>
      </c>
      <c r="C565" s="77">
        <v>29000</v>
      </c>
      <c r="D565" s="77">
        <v>212085</v>
      </c>
      <c r="E565" s="77">
        <v>82732</v>
      </c>
      <c r="F565" s="30">
        <f>SUM(E565/D565)*100</f>
        <v>39.008887945870754</v>
      </c>
      <c r="G565" s="77">
        <v>212085</v>
      </c>
      <c r="H565" s="77">
        <v>32000</v>
      </c>
      <c r="I565" s="77">
        <v>32000</v>
      </c>
      <c r="J565" s="30">
        <f>SUM(I565/G565)*100</f>
        <v>15.088290072376642</v>
      </c>
    </row>
    <row r="566" spans="1:10" ht="30.75">
      <c r="A566" s="43"/>
      <c r="B566" s="89" t="s">
        <v>320</v>
      </c>
      <c r="C566" s="77">
        <v>0</v>
      </c>
      <c r="D566" s="77">
        <v>63814</v>
      </c>
      <c r="E566" s="77">
        <v>24486.4</v>
      </c>
      <c r="F566" s="77">
        <v>0</v>
      </c>
      <c r="G566" s="77">
        <v>24486.4</v>
      </c>
      <c r="H566" s="77">
        <v>10000</v>
      </c>
      <c r="I566" s="77">
        <v>10000</v>
      </c>
      <c r="J566" s="77">
        <v>0</v>
      </c>
    </row>
    <row r="567" spans="1:10" ht="15.75">
      <c r="A567" s="32"/>
      <c r="B567" s="121"/>
      <c r="C567" s="106"/>
      <c r="D567" s="106"/>
      <c r="E567" s="106"/>
      <c r="F567" s="106"/>
      <c r="G567" s="106"/>
      <c r="H567" s="106"/>
      <c r="I567" s="106"/>
      <c r="J567" s="106"/>
    </row>
    <row r="568" spans="1:10" ht="12.75" customHeight="1">
      <c r="A568" s="35"/>
      <c r="B568" s="35"/>
      <c r="C568" s="37"/>
      <c r="D568" s="37"/>
      <c r="E568" s="37"/>
      <c r="F568" s="37"/>
      <c r="G568" s="37"/>
      <c r="H568" s="37"/>
      <c r="I568" s="37"/>
      <c r="J568" s="37"/>
    </row>
    <row r="569" spans="1:10" ht="32.25" thickBot="1">
      <c r="A569" s="38">
        <v>900</v>
      </c>
      <c r="B569" s="99" t="s">
        <v>66</v>
      </c>
      <c r="C569" s="40">
        <f>SUM(C571,C582,C588,C602,C614,C629,C634)</f>
        <v>5706320</v>
      </c>
      <c r="D569" s="40">
        <f>SUM(D571,D582,D588,D602,D614,D629,D634)</f>
        <v>5583490</v>
      </c>
      <c r="E569" s="40">
        <f>SUM(E571,E582,E588,E602,E614,E629,E634)</f>
        <v>3650618.71</v>
      </c>
      <c r="F569" s="19">
        <f>SUM(E569/D569)*100</f>
        <v>65.38238109139624</v>
      </c>
      <c r="G569" s="40">
        <f>SUM(G571,G582,G588,G602,G614,G629,G634)</f>
        <v>4714772.92</v>
      </c>
      <c r="H569" s="40">
        <f>SUM(H571,H582,H588,H602,H614,H629,H634)</f>
        <v>9500100</v>
      </c>
      <c r="I569" s="40">
        <f>SUM(I571,I582,I588,I602,I614,I629,I634)</f>
        <v>5573694</v>
      </c>
      <c r="J569" s="19">
        <f>SUM(I569/G569)*100</f>
        <v>118.21765532665358</v>
      </c>
    </row>
    <row r="570" spans="1:10" ht="12.75" customHeight="1" thickTop="1">
      <c r="A570" s="14"/>
      <c r="B570" s="14"/>
      <c r="C570" s="27"/>
      <c r="D570" s="27"/>
      <c r="E570" s="27"/>
      <c r="F570" s="27"/>
      <c r="G570" s="27"/>
      <c r="H570" s="27"/>
      <c r="I570" s="27"/>
      <c r="J570" s="27"/>
    </row>
    <row r="571" spans="1:10" ht="15.75">
      <c r="A571" s="42">
        <v>90001</v>
      </c>
      <c r="B571" s="78" t="s">
        <v>67</v>
      </c>
      <c r="C571" s="25">
        <f>SUM(C573:C577)</f>
        <v>260000</v>
      </c>
      <c r="D571" s="25">
        <f>SUM(D573:D577,D578)</f>
        <v>260200</v>
      </c>
      <c r="E571" s="25">
        <f>SUM(E573:E577,E578)</f>
        <v>181193.02000000002</v>
      </c>
      <c r="F571" s="44">
        <f>SUM(E571/D571)*100</f>
        <v>69.6360568793236</v>
      </c>
      <c r="G571" s="25">
        <f>SUM(G573:G577,G578)</f>
        <v>260155</v>
      </c>
      <c r="H571" s="25">
        <f>SUM(H573:H577,H578)</f>
        <v>536000</v>
      </c>
      <c r="I571" s="25">
        <f>SUM(I573:I577,I578)</f>
        <v>386000</v>
      </c>
      <c r="J571" s="44">
        <f>SUM(I571/G571)*100</f>
        <v>148.37308527608542</v>
      </c>
    </row>
    <row r="572" spans="1:10" ht="12.75" customHeight="1">
      <c r="A572" s="14"/>
      <c r="B572" s="14"/>
      <c r="C572" s="41"/>
      <c r="D572" s="41"/>
      <c r="E572" s="41"/>
      <c r="F572" s="41"/>
      <c r="G572" s="41"/>
      <c r="H572" s="41"/>
      <c r="I572" s="41"/>
      <c r="J572" s="41"/>
    </row>
    <row r="573" spans="1:10" ht="15.75">
      <c r="A573" s="14"/>
      <c r="B573" s="28" t="s">
        <v>195</v>
      </c>
      <c r="C573" s="31">
        <f>400000-100000-100000-20000</f>
        <v>180000</v>
      </c>
      <c r="D573" s="31">
        <v>160000</v>
      </c>
      <c r="E573" s="31">
        <v>87446.82</v>
      </c>
      <c r="F573" s="30">
        <f>SUM(E573/D573)*100</f>
        <v>54.65426250000001</v>
      </c>
      <c r="G573" s="31">
        <v>160000</v>
      </c>
      <c r="H573" s="31">
        <v>320000</v>
      </c>
      <c r="I573" s="31">
        <f>320000-100000-50000</f>
        <v>170000</v>
      </c>
      <c r="J573" s="30">
        <f>SUM(I573/G573)*100</f>
        <v>106.25</v>
      </c>
    </row>
    <row r="574" spans="1:10" ht="33.75" customHeight="1">
      <c r="A574" s="14"/>
      <c r="B574" s="47" t="s">
        <v>333</v>
      </c>
      <c r="C574" s="31">
        <v>40000</v>
      </c>
      <c r="D574" s="31">
        <v>40000</v>
      </c>
      <c r="E574" s="31">
        <v>39975</v>
      </c>
      <c r="F574" s="30">
        <f>SUM(E574/D574)*100</f>
        <v>99.9375</v>
      </c>
      <c r="G574" s="31">
        <v>40000</v>
      </c>
      <c r="H574" s="31">
        <v>0</v>
      </c>
      <c r="I574" s="31">
        <v>0</v>
      </c>
      <c r="J574" s="30">
        <f>SUM(I574/G574)*100</f>
        <v>0</v>
      </c>
    </row>
    <row r="575" spans="1:10" ht="29.25" customHeight="1">
      <c r="A575" s="14"/>
      <c r="B575" s="47" t="s">
        <v>332</v>
      </c>
      <c r="C575" s="31">
        <v>0</v>
      </c>
      <c r="D575" s="31">
        <v>20000</v>
      </c>
      <c r="E575" s="31">
        <v>13616.2</v>
      </c>
      <c r="F575" s="30">
        <f>SUM(E575/D575)*100</f>
        <v>68.081</v>
      </c>
      <c r="G575" s="31">
        <v>20000</v>
      </c>
      <c r="H575" s="31">
        <v>0</v>
      </c>
      <c r="I575" s="31">
        <v>0</v>
      </c>
      <c r="J575" s="30">
        <f>SUM(I575/G575)*100</f>
        <v>0</v>
      </c>
    </row>
    <row r="576" spans="1:10" ht="45.75">
      <c r="A576" s="14"/>
      <c r="B576" s="47" t="s">
        <v>334</v>
      </c>
      <c r="C576" s="31"/>
      <c r="D576" s="31">
        <v>0</v>
      </c>
      <c r="E576" s="31">
        <v>0</v>
      </c>
      <c r="F576" s="30">
        <v>0</v>
      </c>
      <c r="G576" s="31">
        <v>0</v>
      </c>
      <c r="H576" s="31">
        <v>41000</v>
      </c>
      <c r="I576" s="31">
        <v>41000</v>
      </c>
      <c r="J576" s="30">
        <v>0</v>
      </c>
    </row>
    <row r="577" spans="1:10" ht="30.75">
      <c r="A577" s="14"/>
      <c r="B577" s="89" t="s">
        <v>196</v>
      </c>
      <c r="C577" s="77">
        <v>40000</v>
      </c>
      <c r="D577" s="77">
        <v>40200</v>
      </c>
      <c r="E577" s="77">
        <v>40155</v>
      </c>
      <c r="F577" s="30">
        <f>SUM(E577/D577)*100</f>
        <v>99.88805970149254</v>
      </c>
      <c r="G577" s="77">
        <v>40155</v>
      </c>
      <c r="H577" s="77">
        <v>45000</v>
      </c>
      <c r="I577" s="77">
        <v>45000</v>
      </c>
      <c r="J577" s="30">
        <f>SUM(I577/G577)*100</f>
        <v>112.06574523720583</v>
      </c>
    </row>
    <row r="578" spans="1:10" ht="15.75">
      <c r="A578" s="14"/>
      <c r="B578" s="64" t="s">
        <v>141</v>
      </c>
      <c r="C578" s="65">
        <f>SUM(C580)</f>
        <v>0</v>
      </c>
      <c r="D578" s="65">
        <f>SUM(D580)</f>
        <v>0</v>
      </c>
      <c r="E578" s="65">
        <f>SUM(E580)</f>
        <v>0</v>
      </c>
      <c r="F578" s="166">
        <v>0</v>
      </c>
      <c r="G578" s="65">
        <f>SUM(G580)</f>
        <v>0</v>
      </c>
      <c r="H578" s="65">
        <f>SUM(H580)</f>
        <v>130000</v>
      </c>
      <c r="I578" s="65">
        <f>SUM(I580)</f>
        <v>130000</v>
      </c>
      <c r="J578" s="166">
        <v>0</v>
      </c>
    </row>
    <row r="579" spans="1:10" ht="15.75">
      <c r="A579" s="14"/>
      <c r="B579" s="64" t="s">
        <v>3</v>
      </c>
      <c r="C579" s="49"/>
      <c r="D579" s="49"/>
      <c r="E579" s="86"/>
      <c r="F579" s="49"/>
      <c r="G579" s="86"/>
      <c r="H579" s="86"/>
      <c r="I579" s="86"/>
      <c r="J579" s="49"/>
    </row>
    <row r="580" spans="1:10" ht="30.75">
      <c r="A580" s="14"/>
      <c r="B580" s="47" t="s">
        <v>335</v>
      </c>
      <c r="C580" s="31">
        <v>0</v>
      </c>
      <c r="D580" s="31">
        <v>0</v>
      </c>
      <c r="E580" s="31">
        <v>0</v>
      </c>
      <c r="F580" s="30">
        <v>0</v>
      </c>
      <c r="G580" s="31">
        <v>0</v>
      </c>
      <c r="H580" s="31">
        <v>130000</v>
      </c>
      <c r="I580" s="31">
        <v>130000</v>
      </c>
      <c r="J580" s="30">
        <v>0</v>
      </c>
    </row>
    <row r="581" spans="1:10" ht="12.75" customHeight="1">
      <c r="A581" s="14"/>
      <c r="B581" s="35"/>
      <c r="C581" s="37"/>
      <c r="D581" s="37"/>
      <c r="E581" s="37"/>
      <c r="F581" s="37"/>
      <c r="G581" s="37"/>
      <c r="H581" s="37"/>
      <c r="I581" s="37"/>
      <c r="J581" s="37"/>
    </row>
    <row r="582" spans="1:10" ht="15.75">
      <c r="A582" s="42">
        <v>90002</v>
      </c>
      <c r="B582" s="43" t="s">
        <v>68</v>
      </c>
      <c r="C582" s="25">
        <f>SUM(C584:C586)</f>
        <v>130250</v>
      </c>
      <c r="D582" s="25">
        <f>SUM(D584:D586)</f>
        <v>130250</v>
      </c>
      <c r="E582" s="25">
        <f>SUM(E584:E586)</f>
        <v>96758</v>
      </c>
      <c r="F582" s="44">
        <f>SUM(E582/D582)*100</f>
        <v>74.28637236084454</v>
      </c>
      <c r="G582" s="25">
        <f>SUM(G584:G586)</f>
        <v>128942</v>
      </c>
      <c r="H582" s="25">
        <f>SUM(H584:H586)</f>
        <v>134100</v>
      </c>
      <c r="I582" s="25">
        <f>SUM(I584:I586)</f>
        <v>132100</v>
      </c>
      <c r="J582" s="44">
        <f>SUM(I582/G582)*100</f>
        <v>102.44916318965116</v>
      </c>
    </row>
    <row r="583" spans="1:10" ht="12.75" customHeight="1">
      <c r="A583" s="14"/>
      <c r="B583" s="35"/>
      <c r="C583" s="45"/>
      <c r="D583" s="45"/>
      <c r="E583" s="45"/>
      <c r="F583" s="45"/>
      <c r="G583" s="45"/>
      <c r="H583" s="45"/>
      <c r="I583" s="45"/>
      <c r="J583" s="45"/>
    </row>
    <row r="584" spans="1:10" ht="30.75">
      <c r="A584" s="14"/>
      <c r="B584" s="47" t="s">
        <v>122</v>
      </c>
      <c r="C584" s="31">
        <f>22000-6000-2000</f>
        <v>14000</v>
      </c>
      <c r="D584" s="31">
        <f>22000-6000-2000</f>
        <v>14000</v>
      </c>
      <c r="E584" s="31">
        <v>9696</v>
      </c>
      <c r="F584" s="30">
        <f>SUM(E584/D584)*100</f>
        <v>69.25714285714287</v>
      </c>
      <c r="G584" s="31">
        <v>12882</v>
      </c>
      <c r="H584" s="31">
        <v>18000</v>
      </c>
      <c r="I584" s="31">
        <f>18000-2000</f>
        <v>16000</v>
      </c>
      <c r="J584" s="30">
        <f>SUM(I584/G584)*100</f>
        <v>124.20431609998448</v>
      </c>
    </row>
    <row r="585" spans="1:10" ht="15.75">
      <c r="A585" s="14"/>
      <c r="B585" s="47" t="s">
        <v>137</v>
      </c>
      <c r="C585" s="31">
        <v>116000</v>
      </c>
      <c r="D585" s="31">
        <v>116000</v>
      </c>
      <c r="E585" s="31">
        <v>87002</v>
      </c>
      <c r="F585" s="30">
        <f>SUM(E585/D585)*100</f>
        <v>75.00172413793103</v>
      </c>
      <c r="G585" s="31">
        <v>116000</v>
      </c>
      <c r="H585" s="31">
        <v>116000</v>
      </c>
      <c r="I585" s="31">
        <v>116000</v>
      </c>
      <c r="J585" s="30">
        <f>SUM(I585/G585)*100</f>
        <v>100</v>
      </c>
    </row>
    <row r="586" spans="1:10" ht="30.75">
      <c r="A586" s="14"/>
      <c r="B586" s="47" t="s">
        <v>111</v>
      </c>
      <c r="C586" s="31">
        <v>250</v>
      </c>
      <c r="D586" s="31">
        <v>250</v>
      </c>
      <c r="E586" s="31">
        <v>60</v>
      </c>
      <c r="F586" s="30">
        <f>SUM(E586/D586)*100</f>
        <v>24</v>
      </c>
      <c r="G586" s="31">
        <v>60</v>
      </c>
      <c r="H586" s="31">
        <v>100</v>
      </c>
      <c r="I586" s="31">
        <v>100</v>
      </c>
      <c r="J586" s="30">
        <f>SUM(I586/G586)*100</f>
        <v>166.66666666666669</v>
      </c>
    </row>
    <row r="587" spans="1:10" ht="12.75" customHeight="1">
      <c r="A587" s="14"/>
      <c r="B587" s="14"/>
      <c r="C587" s="37"/>
      <c r="D587" s="37"/>
      <c r="E587" s="37"/>
      <c r="F587" s="37"/>
      <c r="G587" s="37"/>
      <c r="H587" s="37"/>
      <c r="I587" s="37"/>
      <c r="J587" s="37"/>
    </row>
    <row r="588" spans="1:10" ht="15.75">
      <c r="A588" s="42">
        <v>90003</v>
      </c>
      <c r="B588" s="43" t="s">
        <v>69</v>
      </c>
      <c r="C588" s="25">
        <f>SUM(C590:C594)</f>
        <v>1268000</v>
      </c>
      <c r="D588" s="25">
        <f>SUM(D590:D595)</f>
        <v>1267800</v>
      </c>
      <c r="E588" s="25">
        <f>SUM(E590:E595)</f>
        <v>883581.5900000001</v>
      </c>
      <c r="F588" s="44">
        <f>SUM(E588/D588)*100</f>
        <v>69.69408345164854</v>
      </c>
      <c r="G588" s="25">
        <f>SUM(G590:G595)</f>
        <v>1222930</v>
      </c>
      <c r="H588" s="25">
        <f>SUM(H590:H595)</f>
        <v>1453000</v>
      </c>
      <c r="I588" s="25">
        <f>SUM(I590:I595)</f>
        <v>1328000</v>
      </c>
      <c r="J588" s="44">
        <f>SUM(I588/G588)*100</f>
        <v>108.59166101085098</v>
      </c>
    </row>
    <row r="589" spans="1:10" ht="12.75" customHeight="1">
      <c r="A589" s="14"/>
      <c r="B589" s="35"/>
      <c r="C589" s="45"/>
      <c r="D589" s="45"/>
      <c r="E589" s="45"/>
      <c r="F589" s="45"/>
      <c r="G589" s="45"/>
      <c r="H589" s="45"/>
      <c r="I589" s="45"/>
      <c r="J589" s="45"/>
    </row>
    <row r="590" spans="1:10" ht="15.75">
      <c r="A590" s="14"/>
      <c r="B590" s="47" t="s">
        <v>336</v>
      </c>
      <c r="C590" s="31">
        <f>61000-11000-5000</f>
        <v>45000</v>
      </c>
      <c r="D590" s="31">
        <v>55000</v>
      </c>
      <c r="E590" s="31">
        <v>39283.42</v>
      </c>
      <c r="F590" s="30">
        <f>SUM(E590/D590)*100</f>
        <v>71.4244</v>
      </c>
      <c r="G590" s="31">
        <v>55000</v>
      </c>
      <c r="H590" s="31">
        <v>64000</v>
      </c>
      <c r="I590" s="31">
        <f>64000-10000</f>
        <v>54000</v>
      </c>
      <c r="J590" s="30">
        <f>SUM(I590/G590)*100</f>
        <v>98.18181818181819</v>
      </c>
    </row>
    <row r="591" spans="1:10" ht="30.75">
      <c r="A591" s="14"/>
      <c r="B591" s="47" t="s">
        <v>337</v>
      </c>
      <c r="C591" s="31">
        <f>50000-30000</f>
        <v>20000</v>
      </c>
      <c r="D591" s="31">
        <v>0</v>
      </c>
      <c r="E591" s="31">
        <v>0</v>
      </c>
      <c r="F591" s="30">
        <v>0</v>
      </c>
      <c r="G591" s="31">
        <v>0</v>
      </c>
      <c r="H591" s="31">
        <v>50000</v>
      </c>
      <c r="I591" s="31">
        <f>50000-50000</f>
        <v>0</v>
      </c>
      <c r="J591" s="30">
        <v>0</v>
      </c>
    </row>
    <row r="592" spans="1:10" ht="15.75">
      <c r="A592" s="14"/>
      <c r="B592" s="28" t="s">
        <v>338</v>
      </c>
      <c r="C592" s="31">
        <f>1395000-100000-95000-20000</f>
        <v>1180000</v>
      </c>
      <c r="D592" s="31">
        <v>1190000</v>
      </c>
      <c r="E592" s="31">
        <v>836705.42</v>
      </c>
      <c r="F592" s="30">
        <f>SUM(E592/D592)*100</f>
        <v>70.31137983193277</v>
      </c>
      <c r="G592" s="31">
        <v>1149000</v>
      </c>
      <c r="H592" s="31">
        <v>1300000</v>
      </c>
      <c r="I592" s="31">
        <f>1300000-50000</f>
        <v>1250000</v>
      </c>
      <c r="J592" s="30">
        <f>SUM(I592/G592)*100</f>
        <v>108.79025239338556</v>
      </c>
    </row>
    <row r="593" spans="1:10" ht="15.75">
      <c r="A593" s="14"/>
      <c r="B593" s="28" t="s">
        <v>339</v>
      </c>
      <c r="C593" s="31">
        <f>15000-5000</f>
        <v>10000</v>
      </c>
      <c r="D593" s="31">
        <f>15000-5000</f>
        <v>10000</v>
      </c>
      <c r="E593" s="31">
        <v>0</v>
      </c>
      <c r="F593" s="30">
        <f>SUM(E593/D593)*100</f>
        <v>0</v>
      </c>
      <c r="G593" s="31">
        <v>10000</v>
      </c>
      <c r="H593" s="31">
        <v>10000</v>
      </c>
      <c r="I593" s="31">
        <v>10000</v>
      </c>
      <c r="J593" s="30">
        <f>SUM(I593/G593)*100</f>
        <v>100</v>
      </c>
    </row>
    <row r="594" spans="1:10" ht="45.75">
      <c r="A594" s="14"/>
      <c r="B594" s="47" t="s">
        <v>340</v>
      </c>
      <c r="C594" s="31">
        <f>30000-17000</f>
        <v>13000</v>
      </c>
      <c r="D594" s="31">
        <v>12800</v>
      </c>
      <c r="E594" s="31">
        <v>7592.75</v>
      </c>
      <c r="F594" s="30">
        <f>SUM(E594/D594)*100</f>
        <v>59.31835937499999</v>
      </c>
      <c r="G594" s="31">
        <v>8930</v>
      </c>
      <c r="H594" s="31">
        <v>20000</v>
      </c>
      <c r="I594" s="31">
        <f>20000-10000</f>
        <v>10000</v>
      </c>
      <c r="J594" s="30">
        <f>SUM(I594/G594)*100</f>
        <v>111.98208286674132</v>
      </c>
    </row>
    <row r="595" spans="1:10" ht="30.75">
      <c r="A595" s="43"/>
      <c r="B595" s="89" t="s">
        <v>341</v>
      </c>
      <c r="C595" s="77"/>
      <c r="D595" s="77">
        <v>0</v>
      </c>
      <c r="E595" s="77">
        <v>0</v>
      </c>
      <c r="F595" s="30">
        <v>0</v>
      </c>
      <c r="G595" s="77">
        <v>0</v>
      </c>
      <c r="H595" s="77">
        <v>9000</v>
      </c>
      <c r="I595" s="77">
        <f>9000-5000</f>
        <v>4000</v>
      </c>
      <c r="J595" s="168">
        <v>0</v>
      </c>
    </row>
    <row r="596" spans="1:10" ht="16.5" thickBot="1">
      <c r="A596" s="163"/>
      <c r="B596" s="164"/>
      <c r="C596" s="165"/>
      <c r="D596" s="165"/>
      <c r="E596" s="165"/>
      <c r="F596" s="165"/>
      <c r="G596" s="165"/>
      <c r="H596" s="165"/>
      <c r="I596" s="165"/>
      <c r="J596" s="165"/>
    </row>
    <row r="597" spans="1:10" ht="15.75">
      <c r="A597" s="2"/>
      <c r="B597" s="3"/>
      <c r="C597" s="4"/>
      <c r="D597" s="4"/>
      <c r="E597" s="4"/>
      <c r="F597" s="4"/>
      <c r="G597" s="4"/>
      <c r="H597" s="4"/>
      <c r="I597" s="4"/>
      <c r="J597" s="4"/>
    </row>
    <row r="598" spans="1:10" ht="15.75">
      <c r="A598" s="5" t="s">
        <v>22</v>
      </c>
      <c r="B598" s="6" t="s">
        <v>1</v>
      </c>
      <c r="C598" s="7" t="s">
        <v>120</v>
      </c>
      <c r="D598" s="7" t="s">
        <v>120</v>
      </c>
      <c r="E598" s="7" t="s">
        <v>146</v>
      </c>
      <c r="F598" s="7" t="s">
        <v>21</v>
      </c>
      <c r="G598" s="7" t="s">
        <v>211</v>
      </c>
      <c r="H598" s="7" t="s">
        <v>216</v>
      </c>
      <c r="I598" s="7" t="s">
        <v>213</v>
      </c>
      <c r="J598" s="7" t="s">
        <v>21</v>
      </c>
    </row>
    <row r="599" spans="1:10" ht="15.75">
      <c r="A599" s="5" t="s">
        <v>24</v>
      </c>
      <c r="B599" s="8"/>
      <c r="C599" s="7" t="s">
        <v>181</v>
      </c>
      <c r="D599" s="7" t="s">
        <v>210</v>
      </c>
      <c r="E599" s="7" t="s">
        <v>210</v>
      </c>
      <c r="F599" s="7" t="s">
        <v>10</v>
      </c>
      <c r="G599" s="7" t="s">
        <v>212</v>
      </c>
      <c r="H599" s="7" t="s">
        <v>217</v>
      </c>
      <c r="I599" s="7" t="s">
        <v>214</v>
      </c>
      <c r="J599" s="7" t="s">
        <v>10</v>
      </c>
    </row>
    <row r="600" spans="1:10" ht="16.5" thickBot="1">
      <c r="A600" s="9"/>
      <c r="B600" s="10"/>
      <c r="C600" s="11" t="s">
        <v>140</v>
      </c>
      <c r="D600" s="11" t="s">
        <v>140</v>
      </c>
      <c r="E600" s="11" t="s">
        <v>140</v>
      </c>
      <c r="F600" s="11"/>
      <c r="G600" s="11" t="s">
        <v>215</v>
      </c>
      <c r="H600" s="11" t="s">
        <v>140</v>
      </c>
      <c r="I600" s="11" t="s">
        <v>140</v>
      </c>
      <c r="J600" s="11"/>
    </row>
    <row r="601" spans="1:10" ht="12.75" customHeight="1">
      <c r="A601" s="14"/>
      <c r="B601" s="35"/>
      <c r="C601" s="37"/>
      <c r="D601" s="37"/>
      <c r="E601" s="37"/>
      <c r="F601" s="37"/>
      <c r="G601" s="37"/>
      <c r="H601" s="37"/>
      <c r="I601" s="37"/>
      <c r="J601" s="37"/>
    </row>
    <row r="602" spans="1:10" ht="15.75">
      <c r="A602" s="42">
        <v>90004</v>
      </c>
      <c r="B602" s="78" t="s">
        <v>70</v>
      </c>
      <c r="C602" s="25">
        <f>SUM(C604:C607,C609)</f>
        <v>944500</v>
      </c>
      <c r="D602" s="25">
        <f>SUM(D604:D607,D609)</f>
        <v>632500</v>
      </c>
      <c r="E602" s="25">
        <f>SUM(E604:E607,E609)</f>
        <v>171063.75</v>
      </c>
      <c r="F602" s="44">
        <f>SUM(E602/D602)*100</f>
        <v>27.045652173913044</v>
      </c>
      <c r="G602" s="25">
        <f>SUM(G604:G607,G609)</f>
        <v>218730</v>
      </c>
      <c r="H602" s="25">
        <f>SUM(H604:H607,H609)</f>
        <v>2316000</v>
      </c>
      <c r="I602" s="25">
        <f>SUM(I604:I607,I609)</f>
        <v>1576594</v>
      </c>
      <c r="J602" s="44">
        <f>SUM(I602/G602)*100</f>
        <v>720.7945869336626</v>
      </c>
    </row>
    <row r="603" spans="1:10" ht="15.75">
      <c r="A603" s="14"/>
      <c r="B603" s="61"/>
      <c r="C603" s="45"/>
      <c r="D603" s="45"/>
      <c r="E603" s="45"/>
      <c r="F603" s="45"/>
      <c r="G603" s="45"/>
      <c r="H603" s="45"/>
      <c r="I603" s="45"/>
      <c r="J603" s="45"/>
    </row>
    <row r="604" spans="1:10" ht="15.75">
      <c r="A604" s="14"/>
      <c r="B604" s="48" t="s">
        <v>342</v>
      </c>
      <c r="C604" s="49">
        <f>533000-110000-23000-20000+40000</f>
        <v>420000</v>
      </c>
      <c r="D604" s="49">
        <v>113200</v>
      </c>
      <c r="E604" s="49">
        <v>90294.04</v>
      </c>
      <c r="F604" s="30">
        <f>SUM(E604/D604)*100</f>
        <v>79.76505300353355</v>
      </c>
      <c r="G604" s="49">
        <v>113200</v>
      </c>
      <c r="H604" s="49">
        <v>150000</v>
      </c>
      <c r="I604" s="49">
        <f>150000-30000+10000</f>
        <v>130000</v>
      </c>
      <c r="J604" s="30">
        <f>SUM(I604/G604)*100</f>
        <v>114.84098939929328</v>
      </c>
    </row>
    <row r="605" spans="1:10" ht="15.75">
      <c r="A605" s="14"/>
      <c r="B605" s="128" t="s">
        <v>343</v>
      </c>
      <c r="C605" s="77">
        <f>225000-100000-25000-40000-30500</f>
        <v>29500</v>
      </c>
      <c r="D605" s="77">
        <v>24300</v>
      </c>
      <c r="E605" s="77">
        <v>20747.56</v>
      </c>
      <c r="F605" s="30">
        <f>SUM(E605/D605)*100</f>
        <v>85.38090534979425</v>
      </c>
      <c r="G605" s="77">
        <v>24300</v>
      </c>
      <c r="H605" s="77">
        <v>270000</v>
      </c>
      <c r="I605" s="77">
        <f>270000-100000</f>
        <v>170000</v>
      </c>
      <c r="J605" s="30">
        <f>SUM(I605/G605)*100</f>
        <v>699.5884773662551</v>
      </c>
    </row>
    <row r="606" spans="1:10" ht="30.75">
      <c r="A606" s="14"/>
      <c r="B606" s="89" t="s">
        <v>344</v>
      </c>
      <c r="C606" s="77">
        <f>10000-5000</f>
        <v>5000</v>
      </c>
      <c r="D606" s="77">
        <v>1000</v>
      </c>
      <c r="E606" s="77">
        <v>0</v>
      </c>
      <c r="F606" s="30">
        <f>SUM(E606/D606)*100</f>
        <v>0</v>
      </c>
      <c r="G606" s="77">
        <v>1000</v>
      </c>
      <c r="H606" s="77">
        <v>1000</v>
      </c>
      <c r="I606" s="77">
        <v>1000</v>
      </c>
      <c r="J606" s="30">
        <f>SUM(I606/G606)*100</f>
        <v>100</v>
      </c>
    </row>
    <row r="607" spans="1:10" ht="15.75">
      <c r="A607" s="14"/>
      <c r="B607" s="89" t="s">
        <v>345</v>
      </c>
      <c r="C607" s="77">
        <f>200000-115000-5000-5000</f>
        <v>75000</v>
      </c>
      <c r="D607" s="77">
        <v>79000</v>
      </c>
      <c r="E607" s="77">
        <v>58792.15</v>
      </c>
      <c r="F607" s="30">
        <f>SUM(E607/D607)*100</f>
        <v>74.42044303797468</v>
      </c>
      <c r="G607" s="77">
        <v>79000</v>
      </c>
      <c r="H607" s="77">
        <v>195000</v>
      </c>
      <c r="I607" s="77">
        <f>195000-95000</f>
        <v>100000</v>
      </c>
      <c r="J607" s="30">
        <f>SUM(I607/G607)*100</f>
        <v>126.58227848101266</v>
      </c>
    </row>
    <row r="608" spans="1:10" ht="15.75">
      <c r="A608" s="14"/>
      <c r="B608" s="90"/>
      <c r="C608" s="72"/>
      <c r="D608" s="72"/>
      <c r="E608" s="72"/>
      <c r="F608" s="72"/>
      <c r="G608" s="72"/>
      <c r="H608" s="72"/>
      <c r="I608" s="72"/>
      <c r="J608" s="72"/>
    </row>
    <row r="609" spans="1:10" ht="15.75">
      <c r="A609" s="14"/>
      <c r="B609" s="64" t="s">
        <v>127</v>
      </c>
      <c r="C609" s="65">
        <f>SUM(C611:C611)</f>
        <v>415000</v>
      </c>
      <c r="D609" s="65">
        <f>SUM(D611:D612)</f>
        <v>415000</v>
      </c>
      <c r="E609" s="65">
        <f>SUM(E611:E612)</f>
        <v>1230</v>
      </c>
      <c r="F609" s="166">
        <f>SUM(E609/D609)*100</f>
        <v>0.29638554216867474</v>
      </c>
      <c r="G609" s="65">
        <f>SUM(G611:G612)</f>
        <v>1230</v>
      </c>
      <c r="H609" s="65">
        <f>SUM(H611:H612)</f>
        <v>1700000</v>
      </c>
      <c r="I609" s="65">
        <f>SUM(I611:I612)</f>
        <v>1175594</v>
      </c>
      <c r="J609" s="166">
        <f>SUM(I609/G609)*100</f>
        <v>95576.74796747968</v>
      </c>
    </row>
    <row r="610" spans="1:10" ht="15.75">
      <c r="A610" s="14"/>
      <c r="B610" s="64" t="s">
        <v>3</v>
      </c>
      <c r="C610" s="65"/>
      <c r="D610" s="65"/>
      <c r="E610" s="65"/>
      <c r="F610" s="65"/>
      <c r="G610" s="65"/>
      <c r="H610" s="65"/>
      <c r="I610" s="65"/>
      <c r="J610" s="65"/>
    </row>
    <row r="611" spans="1:10" ht="30.75">
      <c r="A611" s="14"/>
      <c r="B611" s="47" t="s">
        <v>346</v>
      </c>
      <c r="C611" s="31">
        <f>1415000-1000000-200000+200000</f>
        <v>415000</v>
      </c>
      <c r="D611" s="31">
        <f>1415000-1000000-200000+200000</f>
        <v>415000</v>
      </c>
      <c r="E611" s="31">
        <v>1230</v>
      </c>
      <c r="F611" s="30">
        <f>SUM(E611/D611)*100</f>
        <v>0.29638554216867474</v>
      </c>
      <c r="G611" s="31">
        <v>1230</v>
      </c>
      <c r="H611" s="31">
        <v>425000</v>
      </c>
      <c r="I611" s="31">
        <v>425000</v>
      </c>
      <c r="J611" s="30">
        <f>SUM(I611/G611)*100</f>
        <v>34552.845528455284</v>
      </c>
    </row>
    <row r="612" spans="1:10" ht="30.75">
      <c r="A612" s="14"/>
      <c r="B612" s="47" t="s">
        <v>347</v>
      </c>
      <c r="C612" s="77"/>
      <c r="D612" s="77">
        <v>0</v>
      </c>
      <c r="E612" s="77">
        <v>0</v>
      </c>
      <c r="F612" s="168">
        <v>0</v>
      </c>
      <c r="G612" s="77">
        <v>0</v>
      </c>
      <c r="H612" s="77">
        <v>1275000</v>
      </c>
      <c r="I612" s="77">
        <f>1275000-524406</f>
        <v>750594</v>
      </c>
      <c r="J612" s="168">
        <v>0</v>
      </c>
    </row>
    <row r="613" spans="1:10" ht="12.75" customHeight="1">
      <c r="A613" s="14"/>
      <c r="B613" s="14"/>
      <c r="C613" s="41"/>
      <c r="D613" s="41"/>
      <c r="E613" s="41"/>
      <c r="F613" s="41"/>
      <c r="G613" s="41"/>
      <c r="H613" s="41"/>
      <c r="I613" s="41"/>
      <c r="J613" s="41"/>
    </row>
    <row r="614" spans="1:10" ht="15.75">
      <c r="A614" s="42">
        <v>90015</v>
      </c>
      <c r="B614" s="78" t="s">
        <v>71</v>
      </c>
      <c r="C614" s="25">
        <f>SUM(C616,C621:C625)</f>
        <v>1443075</v>
      </c>
      <c r="D614" s="25">
        <f>SUM(D616,D621:D625)</f>
        <v>1558075</v>
      </c>
      <c r="E614" s="25">
        <f>SUM(E616,E621:E625)</f>
        <v>838740.9099999999</v>
      </c>
      <c r="F614" s="44">
        <f>SUM(E614/D614)*100</f>
        <v>53.83187009611219</v>
      </c>
      <c r="G614" s="25">
        <f>SUM(G616,G621:G625)</f>
        <v>1230059</v>
      </c>
      <c r="H614" s="25">
        <f>SUM(H616,H621:H625)</f>
        <v>1585000</v>
      </c>
      <c r="I614" s="25">
        <f>SUM(I616,I621:I625)</f>
        <v>1565000</v>
      </c>
      <c r="J614" s="44">
        <f>SUM(I614/G614)*100</f>
        <v>127.22966947113919</v>
      </c>
    </row>
    <row r="615" spans="1:10" ht="10.5" customHeight="1">
      <c r="A615" s="14"/>
      <c r="B615" s="14"/>
      <c r="C615" s="27"/>
      <c r="D615" s="27"/>
      <c r="E615" s="27"/>
      <c r="F615" s="27"/>
      <c r="G615" s="27"/>
      <c r="H615" s="27"/>
      <c r="I615" s="27"/>
      <c r="J615" s="27"/>
    </row>
    <row r="616" spans="1:10" ht="15.75">
      <c r="A616" s="14"/>
      <c r="B616" s="46" t="s">
        <v>197</v>
      </c>
      <c r="C616" s="36">
        <f>SUM(C618:C620)</f>
        <v>1227500</v>
      </c>
      <c r="D616" s="36">
        <f>SUM(D618:D620)</f>
        <v>1227500</v>
      </c>
      <c r="E616" s="36">
        <f>SUM(E618:E620)</f>
        <v>836818.6799999999</v>
      </c>
      <c r="F616" s="167">
        <f>SUM(E616/D616)*100</f>
        <v>68.17260122199592</v>
      </c>
      <c r="G616" s="36">
        <f>SUM(G618:G620)</f>
        <v>1163500</v>
      </c>
      <c r="H616" s="36">
        <f>SUM(H618:H620)</f>
        <v>1260000</v>
      </c>
      <c r="I616" s="36">
        <f>SUM(I618:I620)</f>
        <v>1240000</v>
      </c>
      <c r="J616" s="167">
        <f>SUM(I616/G616)*100</f>
        <v>106.57498925655351</v>
      </c>
    </row>
    <row r="617" spans="1:10" ht="15.75">
      <c r="A617" s="14"/>
      <c r="B617" s="46" t="s">
        <v>3</v>
      </c>
      <c r="C617" s="36"/>
      <c r="D617" s="36"/>
      <c r="E617" s="36"/>
      <c r="F617" s="36"/>
      <c r="G617" s="36"/>
      <c r="H617" s="36"/>
      <c r="I617" s="36"/>
      <c r="J617" s="36"/>
    </row>
    <row r="618" spans="1:10" ht="15.75">
      <c r="A618" s="14"/>
      <c r="B618" s="46" t="s">
        <v>103</v>
      </c>
      <c r="C618" s="36">
        <v>670000</v>
      </c>
      <c r="D618" s="36">
        <v>670000</v>
      </c>
      <c r="E618" s="36">
        <v>434848.32</v>
      </c>
      <c r="F618" s="167">
        <f>SUM(E618/D618)*100</f>
        <v>64.9027343283582</v>
      </c>
      <c r="G618" s="36">
        <v>615000</v>
      </c>
      <c r="H618" s="36">
        <v>670000</v>
      </c>
      <c r="I618" s="36">
        <f>670000-20000</f>
        <v>650000</v>
      </c>
      <c r="J618" s="167">
        <f>SUM(I618/G618)*100</f>
        <v>105.6910569105691</v>
      </c>
    </row>
    <row r="619" spans="1:10" ht="30.75">
      <c r="A619" s="14"/>
      <c r="B619" s="48" t="s">
        <v>349</v>
      </c>
      <c r="C619" s="36">
        <f>200000-130000</f>
        <v>70000</v>
      </c>
      <c r="D619" s="36">
        <v>69000</v>
      </c>
      <c r="E619" s="36">
        <v>36697.05</v>
      </c>
      <c r="F619" s="167">
        <f>SUM(E619/D619)*100</f>
        <v>53.18413043478262</v>
      </c>
      <c r="G619" s="36">
        <v>60000</v>
      </c>
      <c r="H619" s="36">
        <v>70000</v>
      </c>
      <c r="I619" s="36">
        <v>70000</v>
      </c>
      <c r="J619" s="167">
        <f>SUM(I619/G619)*100</f>
        <v>116.66666666666667</v>
      </c>
    </row>
    <row r="620" spans="1:10" ht="30.75">
      <c r="A620" s="14"/>
      <c r="B620" s="47" t="s">
        <v>348</v>
      </c>
      <c r="C620" s="93">
        <f>374000+113500</f>
        <v>487500</v>
      </c>
      <c r="D620" s="93">
        <v>488500</v>
      </c>
      <c r="E620" s="93">
        <f>365273.31</f>
        <v>365273.31</v>
      </c>
      <c r="F620" s="30">
        <f>SUM(E620/D620)*100</f>
        <v>74.7744749232344</v>
      </c>
      <c r="G620" s="93">
        <v>488500</v>
      </c>
      <c r="H620" s="93">
        <f>500000+20000</f>
        <v>520000</v>
      </c>
      <c r="I620" s="93">
        <f>500000+20000</f>
        <v>520000</v>
      </c>
      <c r="J620" s="30">
        <f>SUM(I620/G620)*100</f>
        <v>106.44831115660185</v>
      </c>
    </row>
    <row r="621" spans="1:10" ht="45.75">
      <c r="A621" s="14"/>
      <c r="B621" s="47" t="s">
        <v>198</v>
      </c>
      <c r="C621" s="93">
        <v>65575</v>
      </c>
      <c r="D621" s="93">
        <v>65575</v>
      </c>
      <c r="E621" s="93">
        <v>938.23</v>
      </c>
      <c r="F621" s="30">
        <f>SUM(E621/D621)*100</f>
        <v>1.430773922988944</v>
      </c>
      <c r="G621" s="93">
        <v>65575</v>
      </c>
      <c r="H621" s="93">
        <v>50000</v>
      </c>
      <c r="I621" s="93">
        <v>50000</v>
      </c>
      <c r="J621" s="30">
        <f>SUM(I621/G621)*100</f>
        <v>76.24857033930614</v>
      </c>
    </row>
    <row r="622" spans="1:10" ht="30.75" hidden="1">
      <c r="A622" s="14"/>
      <c r="B622" s="47" t="s">
        <v>155</v>
      </c>
      <c r="C622" s="31">
        <v>0</v>
      </c>
      <c r="D622" s="31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</row>
    <row r="623" spans="1:10" ht="45.75" hidden="1">
      <c r="A623" s="14"/>
      <c r="B623" s="89" t="s">
        <v>150</v>
      </c>
      <c r="C623" s="77">
        <v>0</v>
      </c>
      <c r="D623" s="77">
        <v>0</v>
      </c>
      <c r="E623" s="77">
        <v>0</v>
      </c>
      <c r="F623" s="77">
        <v>0</v>
      </c>
      <c r="G623" s="77">
        <v>0</v>
      </c>
      <c r="H623" s="77">
        <v>0</v>
      </c>
      <c r="I623" s="77">
        <v>0</v>
      </c>
      <c r="J623" s="77">
        <v>0</v>
      </c>
    </row>
    <row r="624" spans="1:10" ht="30.75" hidden="1">
      <c r="A624" s="14"/>
      <c r="B624" s="89" t="s">
        <v>164</v>
      </c>
      <c r="C624" s="77">
        <v>0</v>
      </c>
      <c r="D624" s="77">
        <v>0</v>
      </c>
      <c r="E624" s="77">
        <v>0</v>
      </c>
      <c r="F624" s="77">
        <v>0</v>
      </c>
      <c r="G624" s="77">
        <v>0</v>
      </c>
      <c r="H624" s="77">
        <v>0</v>
      </c>
      <c r="I624" s="77">
        <v>0</v>
      </c>
      <c r="J624" s="77">
        <v>0</v>
      </c>
    </row>
    <row r="625" spans="1:10" ht="15.75">
      <c r="A625" s="14"/>
      <c r="B625" s="64" t="s">
        <v>127</v>
      </c>
      <c r="C625" s="65">
        <f>SUM(C627:C628)</f>
        <v>150000</v>
      </c>
      <c r="D625" s="65">
        <f>SUM(D627:D628)</f>
        <v>265000</v>
      </c>
      <c r="E625" s="65">
        <f>SUM(E627:E628)</f>
        <v>984</v>
      </c>
      <c r="F625" s="166">
        <f>SUM(E625/D625)*100</f>
        <v>0.3713207547169811</v>
      </c>
      <c r="G625" s="65">
        <f>SUM(G627:G628)</f>
        <v>984</v>
      </c>
      <c r="H625" s="65">
        <f>SUM(H627:H628)</f>
        <v>275000</v>
      </c>
      <c r="I625" s="65">
        <f>SUM(I627:I628)</f>
        <v>275000</v>
      </c>
      <c r="J625" s="166">
        <f>SUM(I625/G625)*100</f>
        <v>27947.154471544716</v>
      </c>
    </row>
    <row r="626" spans="1:10" ht="15.75">
      <c r="A626" s="14"/>
      <c r="B626" s="64" t="s">
        <v>3</v>
      </c>
      <c r="C626" s="65"/>
      <c r="D626" s="65"/>
      <c r="E626" s="65"/>
      <c r="F626" s="65"/>
      <c r="G626" s="65"/>
      <c r="H626" s="65"/>
      <c r="I626" s="65"/>
      <c r="J626" s="65"/>
    </row>
    <row r="627" spans="1:10" ht="30.75">
      <c r="A627" s="14"/>
      <c r="B627" s="47" t="s">
        <v>350</v>
      </c>
      <c r="C627" s="31">
        <f>300000-100000-50000</f>
        <v>150000</v>
      </c>
      <c r="D627" s="31">
        <v>265000</v>
      </c>
      <c r="E627" s="31">
        <v>984</v>
      </c>
      <c r="F627" s="30">
        <f>SUM(E627/D627)*100</f>
        <v>0.3713207547169811</v>
      </c>
      <c r="G627" s="31">
        <v>984</v>
      </c>
      <c r="H627" s="31">
        <v>275000</v>
      </c>
      <c r="I627" s="31">
        <v>275000</v>
      </c>
      <c r="J627" s="30">
        <f>SUM(I627/G627)*100</f>
        <v>27947.154471544716</v>
      </c>
    </row>
    <row r="628" spans="1:10" ht="15.75">
      <c r="A628" s="14"/>
      <c r="B628" s="48"/>
      <c r="C628" s="49"/>
      <c r="D628" s="49"/>
      <c r="E628" s="49"/>
      <c r="F628" s="49"/>
      <c r="G628" s="49"/>
      <c r="H628" s="49"/>
      <c r="I628" s="49"/>
      <c r="J628" s="49"/>
    </row>
    <row r="629" spans="1:10" ht="47.25">
      <c r="A629" s="43">
        <v>90019</v>
      </c>
      <c r="B629" s="95" t="s">
        <v>180</v>
      </c>
      <c r="C629" s="153">
        <f>SUM(C631:C632)</f>
        <v>175500</v>
      </c>
      <c r="D629" s="153">
        <f>SUM(D631:D632)</f>
        <v>492500</v>
      </c>
      <c r="E629" s="153">
        <f>SUM(E631:E632)</f>
        <v>397002.62000000005</v>
      </c>
      <c r="F629" s="44">
        <f>SUM(E629/D629)*100</f>
        <v>80.609669035533</v>
      </c>
      <c r="G629" s="153">
        <f>SUM(G631:G632)</f>
        <v>491000</v>
      </c>
      <c r="H629" s="153">
        <f>SUM(H631:H632)</f>
        <v>425000</v>
      </c>
      <c r="I629" s="153">
        <f>SUM(I631:I632)</f>
        <v>370000</v>
      </c>
      <c r="J629" s="44">
        <f>SUM(I629/G629)*100</f>
        <v>75.35641547861506</v>
      </c>
    </row>
    <row r="630" spans="1:10" ht="12" customHeight="1">
      <c r="A630" s="14"/>
      <c r="B630" s="48"/>
      <c r="C630" s="49"/>
      <c r="D630" s="49"/>
      <c r="E630" s="49"/>
      <c r="F630" s="49"/>
      <c r="G630" s="49"/>
      <c r="H630" s="49"/>
      <c r="I630" s="49"/>
      <c r="J630" s="49"/>
    </row>
    <row r="631" spans="1:10" ht="30.75">
      <c r="A631" s="14"/>
      <c r="B631" s="47" t="s">
        <v>199</v>
      </c>
      <c r="C631" s="31">
        <f>60000-16500+30500</f>
        <v>74000</v>
      </c>
      <c r="D631" s="31">
        <v>462950</v>
      </c>
      <c r="E631" s="31">
        <v>380953.34</v>
      </c>
      <c r="F631" s="30">
        <f>SUM(E631/D631)*100</f>
        <v>82.28822551031429</v>
      </c>
      <c r="G631" s="31">
        <v>462950</v>
      </c>
      <c r="H631" s="31">
        <v>375000</v>
      </c>
      <c r="I631" s="31">
        <f>375000-35000</f>
        <v>340000</v>
      </c>
      <c r="J631" s="30">
        <f>SUM(I631/G631)*100</f>
        <v>73.44205637757857</v>
      </c>
    </row>
    <row r="632" spans="1:10" ht="60.75">
      <c r="A632" s="14"/>
      <c r="B632" s="48" t="s">
        <v>200</v>
      </c>
      <c r="C632" s="49">
        <f>117000-50000+34500</f>
        <v>101500</v>
      </c>
      <c r="D632" s="49">
        <v>29550</v>
      </c>
      <c r="E632" s="49">
        <v>16049.28</v>
      </c>
      <c r="F632" s="30">
        <f>SUM(E632/D632)*100</f>
        <v>54.3122842639594</v>
      </c>
      <c r="G632" s="49">
        <v>28050</v>
      </c>
      <c r="H632" s="49">
        <v>50000</v>
      </c>
      <c r="I632" s="49">
        <f>50000-20000</f>
        <v>30000</v>
      </c>
      <c r="J632" s="30">
        <f>SUM(I632/G632)*100</f>
        <v>106.95187165775401</v>
      </c>
    </row>
    <row r="633" spans="1:10" ht="12.75" customHeight="1">
      <c r="A633" s="35"/>
      <c r="B633" s="35"/>
      <c r="C633" s="37"/>
      <c r="D633" s="37"/>
      <c r="E633" s="37"/>
      <c r="F633" s="37"/>
      <c r="G633" s="37"/>
      <c r="H633" s="37"/>
      <c r="I633" s="37"/>
      <c r="J633" s="37"/>
    </row>
    <row r="634" spans="1:10" ht="15.75">
      <c r="A634" s="42">
        <v>90095</v>
      </c>
      <c r="B634" s="43" t="s">
        <v>26</v>
      </c>
      <c r="C634" s="25">
        <f>SUM(C636:C643,C644)</f>
        <v>1484995</v>
      </c>
      <c r="D634" s="25">
        <f>SUM(D636:D643,D644)</f>
        <v>1242165</v>
      </c>
      <c r="E634" s="25">
        <f>SUM(E636:E643,E644)</f>
        <v>1082278.82</v>
      </c>
      <c r="F634" s="44">
        <f>SUM(E634/D634)*100</f>
        <v>87.12842657778958</v>
      </c>
      <c r="G634" s="25">
        <f>SUM(G636:G643,G644)</f>
        <v>1162956.9200000002</v>
      </c>
      <c r="H634" s="25">
        <f>SUM(H636:H643,H644)</f>
        <v>3051000</v>
      </c>
      <c r="I634" s="25">
        <f>SUM(I636:I643,I644)</f>
        <v>216000</v>
      </c>
      <c r="J634" s="44">
        <f>SUM(I634/G634)*100</f>
        <v>18.57334491805595</v>
      </c>
    </row>
    <row r="635" spans="1:10" ht="12.75" customHeight="1">
      <c r="A635" s="14"/>
      <c r="B635" s="14"/>
      <c r="C635" s="41"/>
      <c r="D635" s="41"/>
      <c r="E635" s="41"/>
      <c r="F635" s="41"/>
      <c r="G635" s="41"/>
      <c r="H635" s="41"/>
      <c r="I635" s="41"/>
      <c r="J635" s="41"/>
    </row>
    <row r="636" spans="1:10" ht="30.75">
      <c r="A636" s="14"/>
      <c r="B636" s="47" t="s">
        <v>351</v>
      </c>
      <c r="C636" s="31">
        <f>36000-10000</f>
        <v>26000</v>
      </c>
      <c r="D636" s="31">
        <v>24800</v>
      </c>
      <c r="E636" s="31">
        <v>11685</v>
      </c>
      <c r="F636" s="30">
        <f>SUM(E636/D636)*100</f>
        <v>47.11693548387097</v>
      </c>
      <c r="G636" s="31">
        <v>66400</v>
      </c>
      <c r="H636" s="31">
        <v>80000</v>
      </c>
      <c r="I636" s="31">
        <v>80000</v>
      </c>
      <c r="J636" s="30">
        <f>SUM(I636/G636)*100</f>
        <v>120.48192771084338</v>
      </c>
    </row>
    <row r="637" spans="1:10" ht="30.75">
      <c r="A637" s="14"/>
      <c r="B637" s="47" t="s">
        <v>352</v>
      </c>
      <c r="C637" s="31">
        <v>1000</v>
      </c>
      <c r="D637" s="31">
        <v>1000</v>
      </c>
      <c r="E637" s="31">
        <v>264.26</v>
      </c>
      <c r="F637" s="30">
        <f aca="true" t="shared" si="13" ref="F637:F643">SUM(E637/D637)*100</f>
        <v>26.426</v>
      </c>
      <c r="G637" s="31">
        <v>1000</v>
      </c>
      <c r="H637" s="31">
        <v>1000</v>
      </c>
      <c r="I637" s="31">
        <v>1000</v>
      </c>
      <c r="J637" s="30">
        <f aca="true" t="shared" si="14" ref="J637:J643">SUM(I637/G637)*100</f>
        <v>100</v>
      </c>
    </row>
    <row r="638" spans="1:10" ht="30.75">
      <c r="A638" s="14"/>
      <c r="B638" s="47" t="s">
        <v>174</v>
      </c>
      <c r="C638" s="31">
        <v>63540</v>
      </c>
      <c r="D638" s="31">
        <v>64740</v>
      </c>
      <c r="E638" s="31">
        <v>32063.63</v>
      </c>
      <c r="F638" s="30">
        <f t="shared" si="13"/>
        <v>49.526768612913195</v>
      </c>
      <c r="G638" s="31">
        <v>32063.63</v>
      </c>
      <c r="H638" s="31">
        <v>0</v>
      </c>
      <c r="I638" s="31">
        <v>0</v>
      </c>
      <c r="J638" s="30">
        <f t="shared" si="14"/>
        <v>0</v>
      </c>
    </row>
    <row r="639" spans="1:10" ht="30.75">
      <c r="A639" s="14"/>
      <c r="B639" s="47" t="s">
        <v>175</v>
      </c>
      <c r="C639" s="31">
        <v>43355</v>
      </c>
      <c r="D639" s="31">
        <v>43355</v>
      </c>
      <c r="E639" s="31">
        <v>43000</v>
      </c>
      <c r="F639" s="30">
        <f t="shared" si="13"/>
        <v>99.18117864144851</v>
      </c>
      <c r="G639" s="31">
        <v>43000</v>
      </c>
      <c r="H639" s="31">
        <v>0</v>
      </c>
      <c r="I639" s="31">
        <v>0</v>
      </c>
      <c r="J639" s="30">
        <f t="shared" si="14"/>
        <v>0</v>
      </c>
    </row>
    <row r="640" spans="1:10" ht="45.75" hidden="1">
      <c r="A640" s="14"/>
      <c r="B640" s="47" t="s">
        <v>166</v>
      </c>
      <c r="C640" s="31">
        <f>70000-5000-65000</f>
        <v>0</v>
      </c>
      <c r="D640" s="31">
        <f>70000-5000-65000</f>
        <v>0</v>
      </c>
      <c r="E640" s="31">
        <f>70000-5000-65000</f>
        <v>0</v>
      </c>
      <c r="F640" s="30" t="e">
        <f t="shared" si="13"/>
        <v>#DIV/0!</v>
      </c>
      <c r="G640" s="31">
        <f>70000-5000-65000</f>
        <v>0</v>
      </c>
      <c r="H640" s="31">
        <f>70000-5000-65000</f>
        <v>0</v>
      </c>
      <c r="I640" s="31">
        <f>70000-5000-65000</f>
        <v>0</v>
      </c>
      <c r="J640" s="30" t="e">
        <f t="shared" si="14"/>
        <v>#DIV/0!</v>
      </c>
    </row>
    <row r="641" spans="1:10" ht="45.75">
      <c r="A641" s="14"/>
      <c r="B641" s="47" t="s">
        <v>353</v>
      </c>
      <c r="C641" s="31">
        <f>60000-40000</f>
        <v>20000</v>
      </c>
      <c r="D641" s="31">
        <v>19550</v>
      </c>
      <c r="E641" s="31">
        <v>18166.88</v>
      </c>
      <c r="F641" s="30">
        <f t="shared" si="13"/>
        <v>92.92521739130434</v>
      </c>
      <c r="G641" s="31">
        <v>18166.88</v>
      </c>
      <c r="H641" s="31">
        <v>0</v>
      </c>
      <c r="I641" s="31">
        <v>0</v>
      </c>
      <c r="J641" s="30">
        <f t="shared" si="14"/>
        <v>0</v>
      </c>
    </row>
    <row r="642" spans="1:10" ht="15.75">
      <c r="A642" s="14"/>
      <c r="B642" s="47" t="s">
        <v>165</v>
      </c>
      <c r="C642" s="31">
        <f>15000-5000-5000</f>
        <v>5000</v>
      </c>
      <c r="D642" s="31">
        <v>3832</v>
      </c>
      <c r="E642" s="31">
        <v>3831.95</v>
      </c>
      <c r="F642" s="30">
        <f t="shared" si="13"/>
        <v>99.99869519832984</v>
      </c>
      <c r="G642" s="31">
        <v>3831.95</v>
      </c>
      <c r="H642" s="31">
        <v>0</v>
      </c>
      <c r="I642" s="31">
        <v>0</v>
      </c>
      <c r="J642" s="30">
        <f t="shared" si="14"/>
        <v>0</v>
      </c>
    </row>
    <row r="643" spans="1:10" ht="45.75">
      <c r="A643" s="14"/>
      <c r="B643" s="47" t="s">
        <v>119</v>
      </c>
      <c r="C643" s="31">
        <f>135000-20000-15000</f>
        <v>100000</v>
      </c>
      <c r="D643" s="31">
        <v>101618</v>
      </c>
      <c r="E643" s="31">
        <v>76390.64</v>
      </c>
      <c r="F643" s="30">
        <f t="shared" si="13"/>
        <v>75.17431951032297</v>
      </c>
      <c r="G643" s="31">
        <v>101618</v>
      </c>
      <c r="H643" s="31">
        <v>130000</v>
      </c>
      <c r="I643" s="31">
        <f>130000-20000</f>
        <v>110000</v>
      </c>
      <c r="J643" s="30">
        <f t="shared" si="14"/>
        <v>108.2485386447283</v>
      </c>
    </row>
    <row r="644" spans="1:10" ht="15.75">
      <c r="A644" s="14"/>
      <c r="B644" s="68" t="s">
        <v>127</v>
      </c>
      <c r="C644" s="27">
        <f>SUM(C646:C650)</f>
        <v>1226100</v>
      </c>
      <c r="D644" s="27">
        <f>SUM(D646:D651)</f>
        <v>983270</v>
      </c>
      <c r="E644" s="27">
        <f>SUM(E646:E651)</f>
        <v>896876.4600000001</v>
      </c>
      <c r="F644" s="166">
        <f>SUM(E644/D644)*100</f>
        <v>91.21365037070184</v>
      </c>
      <c r="G644" s="27">
        <f>SUM(G646:G651)</f>
        <v>896876.4600000001</v>
      </c>
      <c r="H644" s="27">
        <f>SUM(H646:H651)</f>
        <v>2840000</v>
      </c>
      <c r="I644" s="27">
        <f>SUM(I646:I651)</f>
        <v>25000</v>
      </c>
      <c r="J644" s="166">
        <f>SUM(I644/G644)*100</f>
        <v>2.78745190837097</v>
      </c>
    </row>
    <row r="645" spans="1:10" ht="15.75">
      <c r="A645" s="14"/>
      <c r="B645" s="68" t="s">
        <v>3</v>
      </c>
      <c r="C645" s="27"/>
      <c r="D645" s="27"/>
      <c r="E645" s="27"/>
      <c r="F645" s="27"/>
      <c r="G645" s="27"/>
      <c r="H645" s="27"/>
      <c r="I645" s="27"/>
      <c r="J645" s="27"/>
    </row>
    <row r="646" spans="1:10" ht="45.75">
      <c r="A646" s="14"/>
      <c r="B646" s="134" t="s">
        <v>354</v>
      </c>
      <c r="C646" s="31">
        <f>300000+500000</f>
        <v>800000</v>
      </c>
      <c r="D646" s="31">
        <v>827370</v>
      </c>
      <c r="E646" s="31">
        <v>744443.25</v>
      </c>
      <c r="F646" s="30">
        <f>SUM(E646/D646)*100</f>
        <v>89.97706588346206</v>
      </c>
      <c r="G646" s="31">
        <v>744443.25</v>
      </c>
      <c r="H646" s="31">
        <v>2800000</v>
      </c>
      <c r="I646" s="31">
        <f>2800000-1600000-1200000</f>
        <v>0</v>
      </c>
      <c r="J646" s="30">
        <f>SUM(I646/G646)*100</f>
        <v>0</v>
      </c>
    </row>
    <row r="647" spans="1:10" ht="45.75">
      <c r="A647" s="14"/>
      <c r="B647" s="134" t="s">
        <v>167</v>
      </c>
      <c r="C647" s="49">
        <f>300000+66100</f>
        <v>366100</v>
      </c>
      <c r="D647" s="49">
        <v>91100</v>
      </c>
      <c r="E647" s="49">
        <v>90651</v>
      </c>
      <c r="F647" s="30">
        <f>SUM(E647/D647)*100</f>
        <v>99.50713501646543</v>
      </c>
      <c r="G647" s="49">
        <v>90651</v>
      </c>
      <c r="H647" s="49">
        <v>0</v>
      </c>
      <c r="I647" s="49">
        <v>0</v>
      </c>
      <c r="J647" s="30">
        <f>SUM(I647/G647)*100</f>
        <v>0</v>
      </c>
    </row>
    <row r="648" spans="1:10" ht="30.75">
      <c r="A648" s="14"/>
      <c r="B648" s="130" t="s">
        <v>355</v>
      </c>
      <c r="C648" s="72">
        <v>50000</v>
      </c>
      <c r="D648" s="72">
        <v>50000</v>
      </c>
      <c r="E648" s="72">
        <v>48024.66</v>
      </c>
      <c r="F648" s="30">
        <f>SUM(E648/D648)*100</f>
        <v>96.04932000000001</v>
      </c>
      <c r="G648" s="72">
        <v>48024.66</v>
      </c>
      <c r="H648" s="72">
        <v>0</v>
      </c>
      <c r="I648" s="72">
        <v>0</v>
      </c>
      <c r="J648" s="30">
        <f>SUM(I648/G648)*100</f>
        <v>0</v>
      </c>
    </row>
    <row r="649" spans="1:10" ht="30.75">
      <c r="A649" s="14"/>
      <c r="B649" s="130" t="s">
        <v>356</v>
      </c>
      <c r="C649" s="72">
        <v>10000</v>
      </c>
      <c r="D649" s="72">
        <v>10000</v>
      </c>
      <c r="E649" s="72">
        <v>9452.55</v>
      </c>
      <c r="F649" s="30">
        <f>SUM(E649/D649)*100</f>
        <v>94.5255</v>
      </c>
      <c r="G649" s="72">
        <v>9452.55</v>
      </c>
      <c r="H649" s="72">
        <v>0</v>
      </c>
      <c r="I649" s="72">
        <v>0</v>
      </c>
      <c r="J649" s="30">
        <f>SUM(I649/G649)*100</f>
        <v>0</v>
      </c>
    </row>
    <row r="650" spans="1:10" ht="45.75">
      <c r="A650" s="14"/>
      <c r="B650" s="89" t="s">
        <v>201</v>
      </c>
      <c r="C650" s="77">
        <v>0</v>
      </c>
      <c r="D650" s="77">
        <v>4800</v>
      </c>
      <c r="E650" s="77">
        <v>4305</v>
      </c>
      <c r="F650" s="168">
        <f>SUM(E650/D650)*100</f>
        <v>89.6875</v>
      </c>
      <c r="G650" s="77">
        <v>4305</v>
      </c>
      <c r="H650" s="77">
        <v>0</v>
      </c>
      <c r="I650" s="77">
        <v>0</v>
      </c>
      <c r="J650" s="168">
        <f>SUM(I650/G650)*100</f>
        <v>0</v>
      </c>
    </row>
    <row r="651" spans="1:10" ht="30.75">
      <c r="A651" s="43"/>
      <c r="B651" s="89" t="s">
        <v>357</v>
      </c>
      <c r="C651" s="77"/>
      <c r="D651" s="77">
        <v>0</v>
      </c>
      <c r="E651" s="77">
        <v>0</v>
      </c>
      <c r="F651" s="168">
        <v>0</v>
      </c>
      <c r="G651" s="77">
        <v>0</v>
      </c>
      <c r="H651" s="77">
        <v>40000</v>
      </c>
      <c r="I651" s="77">
        <f>40000-15000</f>
        <v>25000</v>
      </c>
      <c r="J651" s="168">
        <v>0</v>
      </c>
    </row>
    <row r="652" spans="1:10" ht="16.5" thickBot="1">
      <c r="A652" s="32"/>
      <c r="B652" s="101"/>
      <c r="C652" s="81"/>
      <c r="D652" s="81"/>
      <c r="E652" s="81"/>
      <c r="F652" s="81"/>
      <c r="G652" s="81"/>
      <c r="H652" s="81"/>
      <c r="I652" s="81"/>
      <c r="J652" s="81"/>
    </row>
    <row r="653" spans="1:10" ht="15.75">
      <c r="A653" s="2"/>
      <c r="B653" s="3"/>
      <c r="C653" s="4"/>
      <c r="D653" s="4"/>
      <c r="E653" s="4"/>
      <c r="F653" s="4"/>
      <c r="G653" s="4"/>
      <c r="H653" s="4"/>
      <c r="I653" s="4"/>
      <c r="J653" s="4"/>
    </row>
    <row r="654" spans="1:10" ht="15.75">
      <c r="A654" s="5" t="s">
        <v>22</v>
      </c>
      <c r="B654" s="6" t="s">
        <v>1</v>
      </c>
      <c r="C654" s="7" t="s">
        <v>120</v>
      </c>
      <c r="D654" s="7" t="s">
        <v>120</v>
      </c>
      <c r="E654" s="7" t="s">
        <v>146</v>
      </c>
      <c r="F654" s="7" t="s">
        <v>21</v>
      </c>
      <c r="G654" s="7" t="s">
        <v>211</v>
      </c>
      <c r="H654" s="7" t="s">
        <v>216</v>
      </c>
      <c r="I654" s="7" t="s">
        <v>213</v>
      </c>
      <c r="J654" s="7" t="s">
        <v>21</v>
      </c>
    </row>
    <row r="655" spans="1:10" ht="15.75">
      <c r="A655" s="5" t="s">
        <v>24</v>
      </c>
      <c r="B655" s="8"/>
      <c r="C655" s="7" t="s">
        <v>181</v>
      </c>
      <c r="D655" s="7" t="s">
        <v>210</v>
      </c>
      <c r="E655" s="7" t="s">
        <v>210</v>
      </c>
      <c r="F655" s="7" t="s">
        <v>10</v>
      </c>
      <c r="G655" s="7" t="s">
        <v>212</v>
      </c>
      <c r="H655" s="7" t="s">
        <v>217</v>
      </c>
      <c r="I655" s="7" t="s">
        <v>214</v>
      </c>
      <c r="J655" s="7" t="s">
        <v>10</v>
      </c>
    </row>
    <row r="656" spans="1:10" ht="16.5" thickBot="1">
      <c r="A656" s="9"/>
      <c r="B656" s="10"/>
      <c r="C656" s="11" t="s">
        <v>140</v>
      </c>
      <c r="D656" s="11" t="s">
        <v>140</v>
      </c>
      <c r="E656" s="11" t="s">
        <v>140</v>
      </c>
      <c r="F656" s="11"/>
      <c r="G656" s="11" t="s">
        <v>215</v>
      </c>
      <c r="H656" s="11" t="s">
        <v>140</v>
      </c>
      <c r="I656" s="11" t="s">
        <v>140</v>
      </c>
      <c r="J656" s="11"/>
    </row>
    <row r="657" spans="1:10" ht="12.75" customHeight="1">
      <c r="A657" s="35"/>
      <c r="B657" s="131"/>
      <c r="C657" s="37"/>
      <c r="D657" s="37"/>
      <c r="E657" s="37"/>
      <c r="F657" s="37"/>
      <c r="G657" s="37"/>
      <c r="H657" s="37"/>
      <c r="I657" s="37"/>
      <c r="J657" s="37"/>
    </row>
    <row r="658" spans="1:10" ht="32.25" thickBot="1">
      <c r="A658" s="38">
        <v>921</v>
      </c>
      <c r="B658" s="119" t="s">
        <v>72</v>
      </c>
      <c r="C658" s="40">
        <f>SUM(C660,C673,C678,C683)</f>
        <v>2889190</v>
      </c>
      <c r="D658" s="40">
        <f>SUM(D660,D673,D678,D683)</f>
        <v>2985690</v>
      </c>
      <c r="E658" s="40">
        <f>SUM(E660,E673,E678,E683)</f>
        <v>2110571</v>
      </c>
      <c r="F658" s="19">
        <f>SUM(E658/D658)*100</f>
        <v>70.68955584806193</v>
      </c>
      <c r="G658" s="40">
        <f>SUM(G660,G673,G678,G683)</f>
        <v>2921360</v>
      </c>
      <c r="H658" s="40">
        <f>SUM(H660,H673,H678,H683)</f>
        <v>3747827</v>
      </c>
      <c r="I658" s="40">
        <f>SUM(I660,I673,I678,I683)</f>
        <v>2907827</v>
      </c>
      <c r="J658" s="19">
        <f>SUM(I658/G658)*100</f>
        <v>99.53675685297259</v>
      </c>
    </row>
    <row r="659" spans="1:10" ht="12.75" customHeight="1" thickTop="1">
      <c r="A659" s="14"/>
      <c r="B659" s="32"/>
      <c r="C659" s="27"/>
      <c r="D659" s="27"/>
      <c r="E659" s="27"/>
      <c r="F659" s="27"/>
      <c r="G659" s="27"/>
      <c r="H659" s="27"/>
      <c r="I659" s="27"/>
      <c r="J659" s="27"/>
    </row>
    <row r="660" spans="1:10" ht="15.75">
      <c r="A660" s="42">
        <v>92109</v>
      </c>
      <c r="B660" s="102" t="s">
        <v>73</v>
      </c>
      <c r="C660" s="25">
        <f>SUM(C662,C668:C668)</f>
        <v>1612190</v>
      </c>
      <c r="D660" s="25">
        <f>SUM(D662,D668,D669)</f>
        <v>1695190</v>
      </c>
      <c r="E660" s="25">
        <f>SUM(E662,E668,E669)</f>
        <v>1181295</v>
      </c>
      <c r="F660" s="44">
        <f>SUM(E660/D660)*100</f>
        <v>69.685109043824</v>
      </c>
      <c r="G660" s="25">
        <f>SUM(G662,G668,G669)</f>
        <v>1645860</v>
      </c>
      <c r="H660" s="25">
        <f>SUM(H662,H668,H669)</f>
        <v>2398962</v>
      </c>
      <c r="I660" s="25">
        <f>SUM(I662,I668,I669)</f>
        <v>1713962</v>
      </c>
      <c r="J660" s="44">
        <f>SUM(I660/G660)*100</f>
        <v>104.13777599552819</v>
      </c>
    </row>
    <row r="661" spans="1:10" ht="12.75" customHeight="1">
      <c r="A661" s="14"/>
      <c r="B661" s="32"/>
      <c r="C661" s="45"/>
      <c r="D661" s="45"/>
      <c r="E661" s="45"/>
      <c r="F661" s="45"/>
      <c r="G661" s="45"/>
      <c r="H661" s="45"/>
      <c r="I661" s="45"/>
      <c r="J661" s="45"/>
    </row>
    <row r="662" spans="1:10" ht="15.75">
      <c r="A662" s="14"/>
      <c r="B662" s="67" t="s">
        <v>202</v>
      </c>
      <c r="C662" s="31">
        <f>2062790-200000-60000-200000-40600-50000</f>
        <v>1512190</v>
      </c>
      <c r="D662" s="31">
        <v>1595190</v>
      </c>
      <c r="E662" s="31">
        <v>1143295</v>
      </c>
      <c r="F662" s="30">
        <f>SUM(E662/D662)*100</f>
        <v>71.67139964518333</v>
      </c>
      <c r="G662" s="31">
        <v>1595190</v>
      </c>
      <c r="H662" s="31">
        <f>2298962-293809</f>
        <v>2005153</v>
      </c>
      <c r="I662" s="31">
        <f>2298962-370000-150000-30000-10000-50000-5000-11191-88809</f>
        <v>1583962</v>
      </c>
      <c r="J662" s="30">
        <f>SUM(I662/G662)*100</f>
        <v>99.29613400284606</v>
      </c>
    </row>
    <row r="663" spans="1:10" ht="15.75">
      <c r="A663" s="14"/>
      <c r="B663" s="66" t="s">
        <v>102</v>
      </c>
      <c r="C663" s="49"/>
      <c r="D663" s="49"/>
      <c r="E663" s="49"/>
      <c r="F663" s="49"/>
      <c r="G663" s="49"/>
      <c r="H663" s="49"/>
      <c r="I663" s="49"/>
      <c r="J663" s="49"/>
    </row>
    <row r="664" spans="1:10" ht="30.75">
      <c r="A664" s="14"/>
      <c r="B664" s="63" t="s">
        <v>203</v>
      </c>
      <c r="C664" s="49">
        <v>180000</v>
      </c>
      <c r="D664" s="49">
        <v>180000</v>
      </c>
      <c r="E664" s="49">
        <v>180000</v>
      </c>
      <c r="F664" s="167">
        <f>SUM(E664/D664)*100</f>
        <v>100</v>
      </c>
      <c r="G664" s="49">
        <v>180000</v>
      </c>
      <c r="H664" s="49">
        <v>180000</v>
      </c>
      <c r="I664" s="49">
        <f>180000-30000</f>
        <v>150000</v>
      </c>
      <c r="J664" s="167">
        <f>SUM(I664/G664)*100</f>
        <v>83.33333333333334</v>
      </c>
    </row>
    <row r="665" spans="1:10" ht="15.75" customHeight="1">
      <c r="A665" s="14"/>
      <c r="B665" s="63" t="s">
        <v>204</v>
      </c>
      <c r="C665" s="49">
        <v>30000</v>
      </c>
      <c r="D665" s="49">
        <v>113000</v>
      </c>
      <c r="E665" s="49">
        <v>113000</v>
      </c>
      <c r="F665" s="167">
        <f>SUM(E665/D665)*100</f>
        <v>100</v>
      </c>
      <c r="G665" s="49">
        <v>113000</v>
      </c>
      <c r="H665" s="49">
        <v>113000</v>
      </c>
      <c r="I665" s="49">
        <f>113000-10000</f>
        <v>103000</v>
      </c>
      <c r="J665" s="167">
        <f>SUM(I665/G665)*100</f>
        <v>91.1504424778761</v>
      </c>
    </row>
    <row r="666" spans="1:10" ht="15.75">
      <c r="A666" s="14"/>
      <c r="B666" s="63" t="s">
        <v>205</v>
      </c>
      <c r="C666" s="49">
        <f>640600-200000-200000-40600-50000</f>
        <v>150000</v>
      </c>
      <c r="D666" s="49">
        <f>640600-200000-200000-40600-50000</f>
        <v>150000</v>
      </c>
      <c r="E666" s="49">
        <v>68007</v>
      </c>
      <c r="F666" s="167">
        <f>SUM(E666/D666)*100</f>
        <v>45.338</v>
      </c>
      <c r="G666" s="49">
        <v>150000</v>
      </c>
      <c r="H666" s="49">
        <v>571000</v>
      </c>
      <c r="I666" s="49">
        <f>571000-370000-50000-11191</f>
        <v>139809</v>
      </c>
      <c r="J666" s="167">
        <f>SUM(I666/G666)*100</f>
        <v>93.206</v>
      </c>
    </row>
    <row r="667" spans="1:10" ht="15.75">
      <c r="A667" s="14"/>
      <c r="B667" s="62" t="s">
        <v>376</v>
      </c>
      <c r="C667" s="31">
        <f>90400-60000</f>
        <v>30400</v>
      </c>
      <c r="D667" s="31">
        <f>90400-60000</f>
        <v>30400</v>
      </c>
      <c r="E667" s="31">
        <v>30400</v>
      </c>
      <c r="F667" s="30">
        <f>SUM(E667/D667)*100</f>
        <v>100</v>
      </c>
      <c r="G667" s="31">
        <v>30400</v>
      </c>
      <c r="H667" s="31">
        <v>0</v>
      </c>
      <c r="I667" s="31">
        <v>0</v>
      </c>
      <c r="J667" s="30">
        <f>SUM(I667/G667)*100</f>
        <v>0</v>
      </c>
    </row>
    <row r="668" spans="1:10" ht="30.75">
      <c r="A668" s="14"/>
      <c r="B668" s="114" t="s">
        <v>360</v>
      </c>
      <c r="C668" s="77">
        <f>120000-20000</f>
        <v>100000</v>
      </c>
      <c r="D668" s="77">
        <f>120000-20000</f>
        <v>100000</v>
      </c>
      <c r="E668" s="77">
        <v>38000</v>
      </c>
      <c r="F668" s="30">
        <f>SUM(E668/D668)*100</f>
        <v>38</v>
      </c>
      <c r="G668" s="77">
        <v>50670</v>
      </c>
      <c r="H668" s="77">
        <v>100000</v>
      </c>
      <c r="I668" s="77">
        <f>100000-20000</f>
        <v>80000</v>
      </c>
      <c r="J668" s="30">
        <f>SUM(I668/G668)*100</f>
        <v>157.88434971383464</v>
      </c>
    </row>
    <row r="669" spans="1:10" ht="15.75">
      <c r="A669" s="14"/>
      <c r="B669" s="68" t="s">
        <v>127</v>
      </c>
      <c r="C669" s="27">
        <f>SUM(C671:C675)</f>
        <v>3200000</v>
      </c>
      <c r="D669" s="27">
        <f>SUM(D671)</f>
        <v>0</v>
      </c>
      <c r="E669" s="27">
        <f>SUM(E671)</f>
        <v>0</v>
      </c>
      <c r="F669" s="166">
        <v>0</v>
      </c>
      <c r="G669" s="27">
        <f>SUM(G671)</f>
        <v>0</v>
      </c>
      <c r="H669" s="27">
        <f>SUM(H671)</f>
        <v>293809</v>
      </c>
      <c r="I669" s="27">
        <f>SUM(I671)</f>
        <v>50000</v>
      </c>
      <c r="J669" s="166">
        <v>0</v>
      </c>
    </row>
    <row r="670" spans="1:10" ht="15.75">
      <c r="A670" s="14"/>
      <c r="B670" s="68" t="s">
        <v>3</v>
      </c>
      <c r="C670" s="27"/>
      <c r="D670" s="27"/>
      <c r="E670" s="27"/>
      <c r="F670" s="27"/>
      <c r="G670" s="27"/>
      <c r="H670" s="27"/>
      <c r="I670" s="27"/>
      <c r="J670" s="27"/>
    </row>
    <row r="671" spans="1:10" ht="15.75">
      <c r="A671" s="14"/>
      <c r="B671" s="134" t="s">
        <v>388</v>
      </c>
      <c r="C671" s="31">
        <f>300000+500000</f>
        <v>800000</v>
      </c>
      <c r="D671" s="31">
        <v>0</v>
      </c>
      <c r="E671" s="31">
        <v>0</v>
      </c>
      <c r="F671" s="30">
        <v>0</v>
      </c>
      <c r="G671" s="31">
        <v>0</v>
      </c>
      <c r="H671" s="31">
        <v>293809</v>
      </c>
      <c r="I671" s="31">
        <f>293809-150000-5000-88809</f>
        <v>50000</v>
      </c>
      <c r="J671" s="30">
        <v>0</v>
      </c>
    </row>
    <row r="672" spans="1:10" ht="12.75" customHeight="1">
      <c r="A672" s="35"/>
      <c r="B672" s="131"/>
      <c r="C672" s="37"/>
      <c r="D672" s="37"/>
      <c r="E672" s="37"/>
      <c r="F672" s="37"/>
      <c r="G672" s="37"/>
      <c r="H672" s="37"/>
      <c r="I672" s="37"/>
      <c r="J672" s="37"/>
    </row>
    <row r="673" spans="1:10" ht="15.75">
      <c r="A673" s="42">
        <v>92116</v>
      </c>
      <c r="B673" s="58" t="s">
        <v>74</v>
      </c>
      <c r="C673" s="25">
        <f>SUM(C675:C675,)</f>
        <v>1200000</v>
      </c>
      <c r="D673" s="25">
        <f>SUM(D675:D675,)</f>
        <v>1200000</v>
      </c>
      <c r="E673" s="25">
        <f>SUM(E675:E675,)</f>
        <v>893076</v>
      </c>
      <c r="F673" s="44">
        <f>SUM(E673/D673)*100</f>
        <v>74.423</v>
      </c>
      <c r="G673" s="25">
        <f>SUM(G675:G675,)</f>
        <v>1200000</v>
      </c>
      <c r="H673" s="25">
        <f>SUM(H675:H675,)</f>
        <v>1252000</v>
      </c>
      <c r="I673" s="25">
        <f>SUM(I675:I675,)</f>
        <v>1122000</v>
      </c>
      <c r="J673" s="44">
        <f>SUM(I673/G673)*100</f>
        <v>93.5</v>
      </c>
    </row>
    <row r="674" spans="1:10" ht="15.75">
      <c r="A674" s="14"/>
      <c r="B674" s="32"/>
      <c r="C674" s="37"/>
      <c r="D674" s="37"/>
      <c r="E674" s="37"/>
      <c r="F674" s="37"/>
      <c r="G674" s="37"/>
      <c r="H674" s="37"/>
      <c r="I674" s="37"/>
      <c r="J674" s="37"/>
    </row>
    <row r="675" spans="1:10" ht="15.75">
      <c r="A675" s="14"/>
      <c r="B675" s="132" t="s">
        <v>206</v>
      </c>
      <c r="C675" s="31">
        <f>1287100-50000-37100</f>
        <v>1200000</v>
      </c>
      <c r="D675" s="31">
        <f>1287100-50000-37100</f>
        <v>1200000</v>
      </c>
      <c r="E675" s="31">
        <v>893076</v>
      </c>
      <c r="F675" s="30">
        <f>SUM(E675/D675)*100</f>
        <v>74.423</v>
      </c>
      <c r="G675" s="31">
        <v>1200000</v>
      </c>
      <c r="H675" s="31">
        <v>1252000</v>
      </c>
      <c r="I675" s="31">
        <f>1252000-30000-100000</f>
        <v>1122000</v>
      </c>
      <c r="J675" s="30">
        <f>SUM(I675/G675)*100</f>
        <v>93.5</v>
      </c>
    </row>
    <row r="676" spans="1:10" ht="15.75" hidden="1">
      <c r="A676" s="14"/>
      <c r="B676" s="128" t="s">
        <v>168</v>
      </c>
      <c r="C676" s="49">
        <v>0</v>
      </c>
      <c r="D676" s="49">
        <v>0</v>
      </c>
      <c r="E676" s="49">
        <v>0</v>
      </c>
      <c r="F676" s="49">
        <v>0</v>
      </c>
      <c r="G676" s="49">
        <v>0</v>
      </c>
      <c r="H676" s="49">
        <v>0</v>
      </c>
      <c r="I676" s="49">
        <v>0</v>
      </c>
      <c r="J676" s="49">
        <v>0</v>
      </c>
    </row>
    <row r="677" spans="1:10" ht="12.75" customHeight="1">
      <c r="A677" s="14"/>
      <c r="B677" s="87"/>
      <c r="C677" s="37"/>
      <c r="D677" s="37"/>
      <c r="E677" s="37"/>
      <c r="F677" s="37"/>
      <c r="G677" s="37"/>
      <c r="H677" s="37"/>
      <c r="I677" s="37"/>
      <c r="J677" s="37"/>
    </row>
    <row r="678" spans="1:10" ht="15.75">
      <c r="A678" s="42">
        <v>92120</v>
      </c>
      <c r="B678" s="133" t="s">
        <v>109</v>
      </c>
      <c r="C678" s="25">
        <f>SUM(C680:C681)</f>
        <v>5000</v>
      </c>
      <c r="D678" s="25">
        <f>SUM(D680:D681)</f>
        <v>3500</v>
      </c>
      <c r="E678" s="25">
        <f>SUM(E680:E681)</f>
        <v>3500</v>
      </c>
      <c r="F678" s="44">
        <f>SUM(E678/D678)*100</f>
        <v>100</v>
      </c>
      <c r="G678" s="25">
        <f>SUM(G680:G681)</f>
        <v>3500</v>
      </c>
      <c r="H678" s="25">
        <f>SUM(H680:H681)</f>
        <v>11865</v>
      </c>
      <c r="I678" s="25">
        <f>SUM(I680:I681)</f>
        <v>11865</v>
      </c>
      <c r="J678" s="44">
        <f>SUM(I678/G678)*100</f>
        <v>339</v>
      </c>
    </row>
    <row r="679" spans="1:10" ht="8.25" customHeight="1">
      <c r="A679" s="14"/>
      <c r="B679" s="87"/>
      <c r="C679" s="41"/>
      <c r="D679" s="41"/>
      <c r="E679" s="41"/>
      <c r="F679" s="41"/>
      <c r="G679" s="41"/>
      <c r="H679" s="41"/>
      <c r="I679" s="41"/>
      <c r="J679" s="41"/>
    </row>
    <row r="680" spans="1:10" ht="47.25" customHeight="1">
      <c r="A680" s="14"/>
      <c r="B680" s="134" t="s">
        <v>358</v>
      </c>
      <c r="C680" s="31">
        <v>0</v>
      </c>
      <c r="D680" s="31">
        <v>3500</v>
      </c>
      <c r="E680" s="31">
        <v>3500</v>
      </c>
      <c r="F680" s="30">
        <f>SUM(E680/D680)*100</f>
        <v>100</v>
      </c>
      <c r="G680" s="31">
        <v>3500</v>
      </c>
      <c r="H680" s="31">
        <v>6865</v>
      </c>
      <c r="I680" s="31">
        <v>6865</v>
      </c>
      <c r="J680" s="30">
        <f>SUM(I680/G680)*100</f>
        <v>196.14285714285714</v>
      </c>
    </row>
    <row r="681" spans="1:10" ht="45.75">
      <c r="A681" s="14"/>
      <c r="B681" s="114" t="s">
        <v>359</v>
      </c>
      <c r="C681" s="77">
        <v>5000</v>
      </c>
      <c r="D681" s="77">
        <v>0</v>
      </c>
      <c r="E681" s="77">
        <v>0</v>
      </c>
      <c r="F681" s="30">
        <v>0</v>
      </c>
      <c r="G681" s="77">
        <v>0</v>
      </c>
      <c r="H681" s="77">
        <v>5000</v>
      </c>
      <c r="I681" s="77">
        <v>5000</v>
      </c>
      <c r="J681" s="30">
        <v>0</v>
      </c>
    </row>
    <row r="682" spans="1:10" ht="12.75" customHeight="1">
      <c r="A682" s="14"/>
      <c r="B682" s="87"/>
      <c r="C682" s="27"/>
      <c r="D682" s="27"/>
      <c r="E682" s="27"/>
      <c r="F682" s="27"/>
      <c r="G682" s="27"/>
      <c r="H682" s="27"/>
      <c r="I682" s="27"/>
      <c r="J682" s="27"/>
    </row>
    <row r="683" spans="1:10" ht="15.75">
      <c r="A683" s="42">
        <v>92195</v>
      </c>
      <c r="B683" s="135" t="s">
        <v>26</v>
      </c>
      <c r="C683" s="25">
        <f>SUM(C685:C687)</f>
        <v>72000</v>
      </c>
      <c r="D683" s="25">
        <f>SUM(D685:D687)</f>
        <v>87000</v>
      </c>
      <c r="E683" s="25">
        <f>SUM(E685:E687)</f>
        <v>32700</v>
      </c>
      <c r="F683" s="44">
        <f>SUM(E683/D683)*100</f>
        <v>37.58620689655172</v>
      </c>
      <c r="G683" s="25">
        <f>SUM(G685:G687)</f>
        <v>72000</v>
      </c>
      <c r="H683" s="25">
        <f>SUM(H685:H687)</f>
        <v>85000</v>
      </c>
      <c r="I683" s="25">
        <f>SUM(I685:I687)</f>
        <v>60000</v>
      </c>
      <c r="J683" s="44">
        <f>SUM(I683/G683)*100</f>
        <v>83.33333333333334</v>
      </c>
    </row>
    <row r="684" spans="1:10" ht="12.75" customHeight="1">
      <c r="A684" s="14"/>
      <c r="B684" s="105"/>
      <c r="C684" s="45"/>
      <c r="D684" s="45"/>
      <c r="E684" s="45"/>
      <c r="F684" s="45"/>
      <c r="G684" s="45"/>
      <c r="H684" s="45"/>
      <c r="I684" s="45"/>
      <c r="J684" s="45"/>
    </row>
    <row r="685" spans="1:10" ht="45.75">
      <c r="A685" s="14"/>
      <c r="B685" s="62" t="s">
        <v>207</v>
      </c>
      <c r="C685" s="31">
        <f>120000-30000-20000</f>
        <v>70000</v>
      </c>
      <c r="D685" s="31">
        <f>120000-30000-20000</f>
        <v>70000</v>
      </c>
      <c r="E685" s="31">
        <v>32700</v>
      </c>
      <c r="F685" s="30">
        <f>SUM(E685/D685)*100</f>
        <v>46.714285714285715</v>
      </c>
      <c r="G685" s="31">
        <v>70000</v>
      </c>
      <c r="H685" s="31">
        <v>75000</v>
      </c>
      <c r="I685" s="31">
        <f>75000-5000-10000-10000</f>
        <v>50000</v>
      </c>
      <c r="J685" s="30">
        <f>SUM(I685/G685)*100</f>
        <v>71.42857142857143</v>
      </c>
    </row>
    <row r="686" spans="1:10" ht="30.75">
      <c r="A686" s="14"/>
      <c r="B686" s="101" t="s">
        <v>361</v>
      </c>
      <c r="C686" s="49">
        <v>0</v>
      </c>
      <c r="D686" s="49">
        <v>15000</v>
      </c>
      <c r="E686" s="49">
        <v>0</v>
      </c>
      <c r="F686" s="30">
        <f>SUM(E686/D686)*100</f>
        <v>0</v>
      </c>
      <c r="G686" s="49">
        <v>0</v>
      </c>
      <c r="H686" s="49">
        <v>10000</v>
      </c>
      <c r="I686" s="49">
        <v>10000</v>
      </c>
      <c r="J686" s="30">
        <v>0</v>
      </c>
    </row>
    <row r="687" spans="1:10" ht="30.75">
      <c r="A687" s="14"/>
      <c r="B687" s="130" t="s">
        <v>362</v>
      </c>
      <c r="C687" s="72">
        <f>10000-5000-3000</f>
        <v>2000</v>
      </c>
      <c r="D687" s="72">
        <f>10000-5000-3000</f>
        <v>2000</v>
      </c>
      <c r="E687" s="72">
        <v>0</v>
      </c>
      <c r="F687" s="170">
        <f>SUM(E687/D687)*100</f>
        <v>0</v>
      </c>
      <c r="G687" s="72">
        <v>2000</v>
      </c>
      <c r="H687" s="72">
        <v>0</v>
      </c>
      <c r="I687" s="72">
        <v>0</v>
      </c>
      <c r="J687" s="170">
        <f>SUM(I687/G687)*100</f>
        <v>0</v>
      </c>
    </row>
    <row r="688" spans="1:10" ht="30.75">
      <c r="A688" s="43"/>
      <c r="B688" s="47" t="s">
        <v>138</v>
      </c>
      <c r="C688" s="31">
        <f>10000-8000</f>
        <v>2000</v>
      </c>
      <c r="D688" s="31">
        <f>10000-8000</f>
        <v>2000</v>
      </c>
      <c r="E688" s="31">
        <v>0</v>
      </c>
      <c r="F688" s="30">
        <f>SUM(E688/D688)*100</f>
        <v>0</v>
      </c>
      <c r="G688" s="31">
        <v>2000</v>
      </c>
      <c r="H688" s="31">
        <v>0</v>
      </c>
      <c r="I688" s="31">
        <v>0</v>
      </c>
      <c r="J688" s="30">
        <f>SUM(I688/G688)*100</f>
        <v>0</v>
      </c>
    </row>
    <row r="689" spans="1:10" ht="15.75">
      <c r="A689" s="32"/>
      <c r="B689" s="101"/>
      <c r="C689" s="81"/>
      <c r="D689" s="81"/>
      <c r="E689" s="81"/>
      <c r="F689" s="81"/>
      <c r="G689" s="81"/>
      <c r="H689" s="81"/>
      <c r="I689" s="81"/>
      <c r="J689" s="81"/>
    </row>
    <row r="690" spans="1:10" ht="12.75" customHeight="1">
      <c r="A690" s="35"/>
      <c r="B690" s="131"/>
      <c r="C690" s="37"/>
      <c r="D690" s="37"/>
      <c r="E690" s="37"/>
      <c r="F690" s="37"/>
      <c r="G690" s="37"/>
      <c r="H690" s="37"/>
      <c r="I690" s="37"/>
      <c r="J690" s="37"/>
    </row>
    <row r="691" spans="1:10" ht="16.5" thickBot="1">
      <c r="A691" s="38">
        <v>926</v>
      </c>
      <c r="B691" s="136" t="s">
        <v>177</v>
      </c>
      <c r="C691" s="40">
        <f>SUM(C693,C705)</f>
        <v>3722915</v>
      </c>
      <c r="D691" s="40">
        <f>SUM(D693,D705)</f>
        <v>3707915</v>
      </c>
      <c r="E691" s="40">
        <f>SUM(E693,E705)</f>
        <v>2644105.2199999997</v>
      </c>
      <c r="F691" s="19">
        <f>SUM(E691/D691)*100</f>
        <v>71.30975817946204</v>
      </c>
      <c r="G691" s="40">
        <f>SUM(G693,G705)</f>
        <v>3675202</v>
      </c>
      <c r="H691" s="40">
        <f>SUM(H693,H705)</f>
        <v>4696050</v>
      </c>
      <c r="I691" s="40">
        <f>SUM(I693,I705)</f>
        <v>3272050</v>
      </c>
      <c r="J691" s="19">
        <f>SUM(I691/G691)*100</f>
        <v>89.03048050147991</v>
      </c>
    </row>
    <row r="692" spans="1:10" ht="12.75" customHeight="1" thickTop="1">
      <c r="A692" s="14"/>
      <c r="B692" s="32"/>
      <c r="C692" s="41"/>
      <c r="D692" s="41"/>
      <c r="E692" s="41"/>
      <c r="F692" s="41"/>
      <c r="G692" s="41"/>
      <c r="H692" s="41"/>
      <c r="I692" s="41"/>
      <c r="J692" s="41"/>
    </row>
    <row r="693" spans="1:10" ht="15.75">
      <c r="A693" s="42">
        <v>92601</v>
      </c>
      <c r="B693" s="58" t="s">
        <v>75</v>
      </c>
      <c r="C693" s="25">
        <f>SUM(C695)</f>
        <v>2874515</v>
      </c>
      <c r="D693" s="25">
        <f>SUM(D695)</f>
        <v>2874515</v>
      </c>
      <c r="E693" s="25">
        <f>SUM(E695)</f>
        <v>2092751.48</v>
      </c>
      <c r="F693" s="44">
        <f>SUM(E693/D693)*100</f>
        <v>72.80363748319282</v>
      </c>
      <c r="G693" s="25">
        <f>SUM(G695)</f>
        <v>2841802</v>
      </c>
      <c r="H693" s="25">
        <f>SUM(H695)</f>
        <v>3798050</v>
      </c>
      <c r="I693" s="25">
        <f>SUM(I695)</f>
        <v>2810050</v>
      </c>
      <c r="J693" s="44">
        <f>SUM(I693/G693)*100</f>
        <v>98.88268077790077</v>
      </c>
    </row>
    <row r="694" spans="1:10" ht="15.75">
      <c r="A694" s="35"/>
      <c r="B694" s="137"/>
      <c r="C694" s="45"/>
      <c r="D694" s="45"/>
      <c r="E694" s="45"/>
      <c r="F694" s="45"/>
      <c r="G694" s="45"/>
      <c r="H694" s="45"/>
      <c r="I694" s="45"/>
      <c r="J694" s="45"/>
    </row>
    <row r="695" spans="1:10" ht="15.75">
      <c r="A695" s="14"/>
      <c r="B695" s="121" t="s">
        <v>98</v>
      </c>
      <c r="C695" s="27">
        <f>SUM(C698:C700)</f>
        <v>2874515</v>
      </c>
      <c r="D695" s="27">
        <f>SUM(D698:D700)</f>
        <v>2874515</v>
      </c>
      <c r="E695" s="27">
        <f>SUM(E698:E700)</f>
        <v>2092751.48</v>
      </c>
      <c r="F695" s="166">
        <f>SUM(E695/D695)*100</f>
        <v>72.80363748319282</v>
      </c>
      <c r="G695" s="27">
        <f>SUM(G698:G700)</f>
        <v>2841802</v>
      </c>
      <c r="H695" s="27">
        <f>SUM(H698:H700)</f>
        <v>3798050</v>
      </c>
      <c r="I695" s="27">
        <f>SUM(I698:I700)</f>
        <v>2810050</v>
      </c>
      <c r="J695" s="166">
        <f>SUM(I695/G695)*100</f>
        <v>98.88268077790077</v>
      </c>
    </row>
    <row r="696" spans="1:10" ht="31.5">
      <c r="A696" s="14"/>
      <c r="B696" s="121" t="s">
        <v>179</v>
      </c>
      <c r="C696" s="27"/>
      <c r="D696" s="27"/>
      <c r="E696" s="27"/>
      <c r="F696" s="27"/>
      <c r="G696" s="27"/>
      <c r="H696" s="27"/>
      <c r="I696" s="27"/>
      <c r="J696" s="27"/>
    </row>
    <row r="697" spans="1:10" ht="15.75">
      <c r="A697" s="14"/>
      <c r="B697" s="101" t="s">
        <v>3</v>
      </c>
      <c r="C697" s="27"/>
      <c r="D697" s="27"/>
      <c r="E697" s="27"/>
      <c r="F697" s="27"/>
      <c r="G697" s="27"/>
      <c r="H697" s="27"/>
      <c r="I697" s="27"/>
      <c r="J697" s="27"/>
    </row>
    <row r="698" spans="1:10" ht="15.75">
      <c r="A698" s="68"/>
      <c r="B698" s="101" t="s">
        <v>89</v>
      </c>
      <c r="C698" s="49">
        <f>379363-100000+737515</f>
        <v>1016878</v>
      </c>
      <c r="D698" s="49">
        <f>379363-100000+737515</f>
        <v>1016878</v>
      </c>
      <c r="E698" s="49">
        <v>723874.61</v>
      </c>
      <c r="F698" s="167">
        <f>SUM(E698/D698)*100</f>
        <v>71.18598396267792</v>
      </c>
      <c r="G698" s="49">
        <v>985166</v>
      </c>
      <c r="H698" s="49">
        <v>1070593</v>
      </c>
      <c r="I698" s="49">
        <f>1070593-50000-20000</f>
        <v>1000593</v>
      </c>
      <c r="J698" s="167">
        <f>SUM(I698/G698)*100</f>
        <v>101.56592899064727</v>
      </c>
    </row>
    <row r="699" spans="1:10" ht="15.75">
      <c r="A699" s="14"/>
      <c r="B699" s="62" t="s">
        <v>13</v>
      </c>
      <c r="C699" s="31">
        <f>734184-334000-129547+1587000</f>
        <v>1857637</v>
      </c>
      <c r="D699" s="31">
        <v>1846237</v>
      </c>
      <c r="E699" s="31">
        <v>1358477.87</v>
      </c>
      <c r="F699" s="30">
        <f>SUM(E699/D699)*100</f>
        <v>73.58090375179351</v>
      </c>
      <c r="G699" s="31">
        <v>1846237</v>
      </c>
      <c r="H699" s="31">
        <v>2239457</v>
      </c>
      <c r="I699" s="31">
        <f>2239457-350000-20000-60000</f>
        <v>1809457</v>
      </c>
      <c r="J699" s="30">
        <f>SUM(I699/G699)*100</f>
        <v>98.00783973021882</v>
      </c>
    </row>
    <row r="700" spans="1:10" ht="15.75">
      <c r="A700" s="14"/>
      <c r="B700" s="68" t="s">
        <v>127</v>
      </c>
      <c r="C700" s="27">
        <f>SUM(C702)</f>
        <v>0</v>
      </c>
      <c r="D700" s="27">
        <f>SUM(D702:D703)</f>
        <v>11400</v>
      </c>
      <c r="E700" s="27">
        <f>SUM(E702:E703)</f>
        <v>10399</v>
      </c>
      <c r="F700" s="166">
        <f>SUM(E700/D700)*100</f>
        <v>91.21929824561403</v>
      </c>
      <c r="G700" s="27">
        <f>SUM(G702:G703)</f>
        <v>10399</v>
      </c>
      <c r="H700" s="27">
        <f>SUM(H702:H703)</f>
        <v>488000</v>
      </c>
      <c r="I700" s="27">
        <f>SUM(I702:I703)</f>
        <v>0</v>
      </c>
      <c r="J700" s="166">
        <f>SUM(I700/G700)*100</f>
        <v>0</v>
      </c>
    </row>
    <row r="701" spans="1:10" ht="15.75">
      <c r="A701" s="14"/>
      <c r="B701" s="68" t="s">
        <v>3</v>
      </c>
      <c r="C701" s="27"/>
      <c r="D701" s="27"/>
      <c r="E701" s="27"/>
      <c r="F701" s="27"/>
      <c r="G701" s="27"/>
      <c r="H701" s="27"/>
      <c r="I701" s="27"/>
      <c r="J701" s="27"/>
    </row>
    <row r="702" spans="1:10" ht="30.75">
      <c r="A702" s="14"/>
      <c r="B702" s="134" t="s">
        <v>364</v>
      </c>
      <c r="C702" s="31">
        <v>0</v>
      </c>
      <c r="D702" s="31">
        <v>11400</v>
      </c>
      <c r="E702" s="31">
        <v>10399</v>
      </c>
      <c r="F702" s="30">
        <f>SUM(E702/D702)*100</f>
        <v>91.21929824561403</v>
      </c>
      <c r="G702" s="31">
        <v>10399</v>
      </c>
      <c r="H702" s="31">
        <v>0</v>
      </c>
      <c r="I702" s="31">
        <v>0</v>
      </c>
      <c r="J702" s="30">
        <f>SUM(I702/G702)*100</f>
        <v>0</v>
      </c>
    </row>
    <row r="703" spans="1:10" ht="15.75">
      <c r="A703" s="14"/>
      <c r="B703" s="101" t="s">
        <v>363</v>
      </c>
      <c r="C703" s="49"/>
      <c r="D703" s="49">
        <v>0</v>
      </c>
      <c r="E703" s="49">
        <v>0</v>
      </c>
      <c r="F703" s="167">
        <v>0</v>
      </c>
      <c r="G703" s="49">
        <v>0</v>
      </c>
      <c r="H703" s="49">
        <v>488000</v>
      </c>
      <c r="I703" s="49">
        <f>488000-488000</f>
        <v>0</v>
      </c>
      <c r="J703" s="167">
        <v>0</v>
      </c>
    </row>
    <row r="704" spans="1:10" ht="12.75" customHeight="1">
      <c r="A704" s="14"/>
      <c r="B704" s="137"/>
      <c r="C704" s="45"/>
      <c r="D704" s="45"/>
      <c r="E704" s="45"/>
      <c r="F704" s="45"/>
      <c r="G704" s="45"/>
      <c r="H704" s="45"/>
      <c r="I704" s="45"/>
      <c r="J704" s="45"/>
    </row>
    <row r="705" spans="1:10" ht="15.75">
      <c r="A705" s="42">
        <v>92605</v>
      </c>
      <c r="B705" s="102" t="s">
        <v>176</v>
      </c>
      <c r="C705" s="25">
        <f>SUM(C707:C713,C714)</f>
        <v>848400</v>
      </c>
      <c r="D705" s="25">
        <f>SUM(D707:D713,D714)</f>
        <v>833400</v>
      </c>
      <c r="E705" s="25">
        <f>SUM(E707:E713,E714)</f>
        <v>551353.74</v>
      </c>
      <c r="F705" s="44">
        <f>SUM(E705/D705)*100</f>
        <v>66.1571562275018</v>
      </c>
      <c r="G705" s="25">
        <f>SUM(G707:G713,G714)</f>
        <v>833400</v>
      </c>
      <c r="H705" s="25">
        <f>SUM(H707:H713,H714)</f>
        <v>898000</v>
      </c>
      <c r="I705" s="25">
        <f>SUM(I707:I713,I714)</f>
        <v>462000</v>
      </c>
      <c r="J705" s="44">
        <f>SUM(I705/G705)*100</f>
        <v>55.43556515478761</v>
      </c>
    </row>
    <row r="706" spans="1:10" ht="12.75" customHeight="1">
      <c r="A706" s="14"/>
      <c r="B706" s="87"/>
      <c r="C706" s="41"/>
      <c r="D706" s="41"/>
      <c r="E706" s="41"/>
      <c r="F706" s="41"/>
      <c r="G706" s="41"/>
      <c r="H706" s="41"/>
      <c r="I706" s="41"/>
      <c r="J706" s="41"/>
    </row>
    <row r="707" spans="1:10" ht="60.75">
      <c r="A707" s="14"/>
      <c r="B707" s="134" t="s">
        <v>365</v>
      </c>
      <c r="C707" s="31">
        <f>800000-200000-30000</f>
        <v>570000</v>
      </c>
      <c r="D707" s="31">
        <v>600000</v>
      </c>
      <c r="E707" s="31">
        <v>397000</v>
      </c>
      <c r="F707" s="30">
        <f aca="true" t="shared" si="15" ref="F707:F712">SUM(E707/D707)*100</f>
        <v>66.16666666666666</v>
      </c>
      <c r="G707" s="31">
        <v>600000</v>
      </c>
      <c r="H707" s="31">
        <v>650000</v>
      </c>
      <c r="I707" s="31">
        <f>650000-50000-200000-100000</f>
        <v>300000</v>
      </c>
      <c r="J707" s="30">
        <f aca="true" t="shared" si="16" ref="J707:J712">SUM(I707/G707)*100</f>
        <v>50</v>
      </c>
    </row>
    <row r="708" spans="1:10" ht="15.75" hidden="1">
      <c r="A708" s="14"/>
      <c r="B708" s="129" t="s">
        <v>151</v>
      </c>
      <c r="C708" s="77">
        <v>0</v>
      </c>
      <c r="D708" s="77">
        <v>0</v>
      </c>
      <c r="E708" s="77">
        <v>0</v>
      </c>
      <c r="F708" s="30" t="e">
        <f t="shared" si="15"/>
        <v>#DIV/0!</v>
      </c>
      <c r="G708" s="77">
        <v>0</v>
      </c>
      <c r="H708" s="77">
        <v>0</v>
      </c>
      <c r="I708" s="77">
        <v>0</v>
      </c>
      <c r="J708" s="30" t="e">
        <f t="shared" si="16"/>
        <v>#DIV/0!</v>
      </c>
    </row>
    <row r="709" spans="1:10" ht="30.75">
      <c r="A709" s="14"/>
      <c r="B709" s="129" t="s">
        <v>366</v>
      </c>
      <c r="C709" s="77">
        <f>40000-15000</f>
        <v>25000</v>
      </c>
      <c r="D709" s="77">
        <v>40000</v>
      </c>
      <c r="E709" s="77">
        <v>20550</v>
      </c>
      <c r="F709" s="30">
        <f t="shared" si="15"/>
        <v>51.37500000000001</v>
      </c>
      <c r="G709" s="77">
        <v>40000</v>
      </c>
      <c r="H709" s="77">
        <v>25000</v>
      </c>
      <c r="I709" s="77">
        <f>25000-5000-10000</f>
        <v>10000</v>
      </c>
      <c r="J709" s="30">
        <f t="shared" si="16"/>
        <v>25</v>
      </c>
    </row>
    <row r="710" spans="1:10" ht="15.75">
      <c r="A710" s="14"/>
      <c r="B710" s="129" t="s">
        <v>367</v>
      </c>
      <c r="C710" s="77">
        <f>100000-30000</f>
        <v>70000</v>
      </c>
      <c r="D710" s="77">
        <v>0</v>
      </c>
      <c r="E710" s="77">
        <v>0</v>
      </c>
      <c r="F710" s="30">
        <v>0</v>
      </c>
      <c r="G710" s="77">
        <v>0</v>
      </c>
      <c r="H710" s="77">
        <v>0</v>
      </c>
      <c r="I710" s="77">
        <v>0</v>
      </c>
      <c r="J710" s="30">
        <v>0</v>
      </c>
    </row>
    <row r="711" spans="1:10" ht="15.75" hidden="1">
      <c r="A711" s="14"/>
      <c r="B711" s="129" t="s">
        <v>169</v>
      </c>
      <c r="C711" s="77">
        <v>0</v>
      </c>
      <c r="D711" s="77">
        <v>0</v>
      </c>
      <c r="E711" s="77">
        <v>0</v>
      </c>
      <c r="F711" s="30" t="e">
        <f t="shared" si="15"/>
        <v>#DIV/0!</v>
      </c>
      <c r="G711" s="77">
        <v>0</v>
      </c>
      <c r="H711" s="77">
        <v>0</v>
      </c>
      <c r="I711" s="77">
        <v>0</v>
      </c>
      <c r="J711" s="30" t="e">
        <f t="shared" si="16"/>
        <v>#DIV/0!</v>
      </c>
    </row>
    <row r="712" spans="1:10" ht="45.75">
      <c r="A712" s="14"/>
      <c r="B712" s="129" t="s">
        <v>368</v>
      </c>
      <c r="C712" s="77">
        <v>6000</v>
      </c>
      <c r="D712" s="77">
        <v>6000</v>
      </c>
      <c r="E712" s="77">
        <v>4360</v>
      </c>
      <c r="F712" s="30">
        <f t="shared" si="15"/>
        <v>72.66666666666667</v>
      </c>
      <c r="G712" s="77">
        <v>6000</v>
      </c>
      <c r="H712" s="77">
        <v>6000</v>
      </c>
      <c r="I712" s="77">
        <f>6000-6000</f>
        <v>0</v>
      </c>
      <c r="J712" s="30">
        <f t="shared" si="16"/>
        <v>0</v>
      </c>
    </row>
    <row r="713" spans="1:10" ht="18" customHeight="1" hidden="1">
      <c r="A713" s="14"/>
      <c r="B713" s="114" t="s">
        <v>112</v>
      </c>
      <c r="C713" s="77">
        <v>0</v>
      </c>
      <c r="D713" s="77">
        <v>0</v>
      </c>
      <c r="E713" s="77">
        <v>0</v>
      </c>
      <c r="F713" s="77">
        <v>0</v>
      </c>
      <c r="G713" s="77">
        <v>0</v>
      </c>
      <c r="H713" s="77">
        <v>0</v>
      </c>
      <c r="I713" s="77">
        <v>0</v>
      </c>
      <c r="J713" s="77">
        <v>0</v>
      </c>
    </row>
    <row r="714" spans="1:10" ht="47.25">
      <c r="A714" s="14"/>
      <c r="B714" s="121" t="s">
        <v>208</v>
      </c>
      <c r="C714" s="65">
        <f>SUM(C716:C717)</f>
        <v>177400</v>
      </c>
      <c r="D714" s="65">
        <f>SUM(D716:D717)</f>
        <v>187400</v>
      </c>
      <c r="E714" s="65">
        <f>SUM(E716:E717)</f>
        <v>129443.74</v>
      </c>
      <c r="F714" s="169">
        <f>SUM(E714/D714)*100</f>
        <v>69.07350053361793</v>
      </c>
      <c r="G714" s="65">
        <f>SUM(G716:G717)</f>
        <v>187400</v>
      </c>
      <c r="H714" s="65">
        <f>SUM(H716:H717)</f>
        <v>217000</v>
      </c>
      <c r="I714" s="65">
        <f>SUM(I716:I717)</f>
        <v>152000</v>
      </c>
      <c r="J714" s="169">
        <f>SUM(I714/G714)*100</f>
        <v>81.10992529348987</v>
      </c>
    </row>
    <row r="715" spans="1:10" ht="15.75">
      <c r="A715" s="14"/>
      <c r="B715" s="101" t="s">
        <v>3</v>
      </c>
      <c r="C715" s="49"/>
      <c r="D715" s="49"/>
      <c r="E715" s="49"/>
      <c r="F715" s="49"/>
      <c r="G715" s="49"/>
      <c r="H715" s="49"/>
      <c r="I715" s="49"/>
      <c r="J715" s="49"/>
    </row>
    <row r="716" spans="1:10" ht="15.75">
      <c r="A716" s="14"/>
      <c r="B716" s="101" t="s">
        <v>89</v>
      </c>
      <c r="C716" s="49">
        <f>177600-15000-22600</f>
        <v>140000</v>
      </c>
      <c r="D716" s="49">
        <v>150000</v>
      </c>
      <c r="E716" s="49">
        <v>98047</v>
      </c>
      <c r="F716" s="167">
        <f>SUM(E716/D716)*100</f>
        <v>65.36466666666666</v>
      </c>
      <c r="G716" s="49">
        <v>150000</v>
      </c>
      <c r="H716" s="49">
        <v>183600</v>
      </c>
      <c r="I716" s="49">
        <f>183600-35000-30000</f>
        <v>118600</v>
      </c>
      <c r="J716" s="167">
        <f>SUM(I716/G716)*100</f>
        <v>79.06666666666666</v>
      </c>
    </row>
    <row r="717" spans="1:10" ht="15.75">
      <c r="A717" s="14"/>
      <c r="B717" s="48" t="s">
        <v>13</v>
      </c>
      <c r="C717" s="49">
        <v>37400</v>
      </c>
      <c r="D717" s="49">
        <v>37400</v>
      </c>
      <c r="E717" s="49">
        <v>31396.74</v>
      </c>
      <c r="F717" s="167">
        <f>SUM(E717/D717)*100</f>
        <v>83.9485026737968</v>
      </c>
      <c r="G717" s="49">
        <v>37400</v>
      </c>
      <c r="H717" s="49">
        <v>33400</v>
      </c>
      <c r="I717" s="49">
        <v>33400</v>
      </c>
      <c r="J717" s="167">
        <f>SUM(I717/G717)*100</f>
        <v>89.3048128342246</v>
      </c>
    </row>
    <row r="718" spans="1:10" ht="16.5" thickBot="1">
      <c r="A718" s="161"/>
      <c r="B718" s="155"/>
      <c r="C718" s="154"/>
      <c r="D718" s="154"/>
      <c r="E718" s="154"/>
      <c r="F718" s="154"/>
      <c r="G718" s="154"/>
      <c r="H718" s="154"/>
      <c r="I718" s="154"/>
      <c r="J718" s="154"/>
    </row>
    <row r="719" spans="1:10" ht="12.75" customHeight="1">
      <c r="A719" s="2"/>
      <c r="B719" s="2"/>
      <c r="C719" s="139"/>
      <c r="D719" s="139"/>
      <c r="E719" s="139"/>
      <c r="F719" s="139"/>
      <c r="G719" s="139"/>
      <c r="H719" s="139"/>
      <c r="I719" s="139"/>
      <c r="J719" s="139"/>
    </row>
    <row r="720" spans="1:10" ht="15.75">
      <c r="A720" s="140"/>
      <c r="B720" s="140" t="s">
        <v>9</v>
      </c>
      <c r="C720" s="141">
        <f>SUM(C10,C18,C52,C63,C97,C136,C195,C206,C214,C235,C246,C257,C275,C414,C438,C533,C553,C569,C658,C691)</f>
        <v>102847528</v>
      </c>
      <c r="D720" s="141">
        <f>SUM(D10,D18,D52,D63,D97,D136,D195,D206,D214,D235,D246,D257,D275,D414,D438,D533,D553,D569,D658,D691)</f>
        <v>98830627.32000001</v>
      </c>
      <c r="E720" s="141">
        <f>SUM(E10,E18,E52,E63,E97,E136,E195,E206,E214,E235,E246,E257,E275,E414,E438,E533,E553,E569,E658,E691)</f>
        <v>65029191.35</v>
      </c>
      <c r="F720" s="171">
        <f>SUM(E720/D720)*100</f>
        <v>65.79862246492112</v>
      </c>
      <c r="G720" s="141">
        <f>SUM(G10,G18,G52,G63,G97,G136,G195,G206,G214,G235,G246,G257,G275,G414,G438,G533,G553,G569,G658,G691)</f>
        <v>93335083.28000002</v>
      </c>
      <c r="H720" s="141">
        <f>SUM(H10,H18,H52,H63,H97,H136,H195,H206,H214,H235,H246,H257,H275,H414,H438,H533,H553,H569,H658,H691)</f>
        <v>124463173</v>
      </c>
      <c r="I720" s="141">
        <f>SUM(I10,I18,I52,I63,I97,I136,I195,I206,I214,I235,I246,I257,I275,I414,I438,I533,I553,I569,I658,I691)</f>
        <v>106095617</v>
      </c>
      <c r="J720" s="171">
        <f>SUM(I720/G720)*100</f>
        <v>113.67174407689669</v>
      </c>
    </row>
    <row r="721" spans="1:10" ht="12.75" customHeight="1" thickBot="1">
      <c r="A721" s="9"/>
      <c r="B721" s="9"/>
      <c r="C721" s="142"/>
      <c r="D721" s="142"/>
      <c r="E721" s="142"/>
      <c r="F721" s="142"/>
      <c r="G721" s="142"/>
      <c r="H721" s="142"/>
      <c r="I721" s="142"/>
      <c r="J721" s="142"/>
    </row>
    <row r="723" ht="12.75" customHeight="1">
      <c r="B723" s="116"/>
    </row>
    <row r="724" ht="12.75" customHeight="1">
      <c r="B724" s="116"/>
    </row>
    <row r="725" ht="12.75" customHeight="1">
      <c r="B725" s="116"/>
    </row>
    <row r="726" ht="12.75" customHeight="1">
      <c r="B726" s="116"/>
    </row>
    <row r="727" ht="12.75" customHeight="1">
      <c r="B727" s="116"/>
    </row>
    <row r="728" ht="12.75" customHeight="1">
      <c r="B728" s="116"/>
    </row>
    <row r="729" ht="12.75" customHeight="1">
      <c r="B729" s="116"/>
    </row>
    <row r="730" ht="12.75" customHeight="1">
      <c r="B730" s="116"/>
    </row>
    <row r="731" ht="12.75" customHeight="1">
      <c r="B731" s="116"/>
    </row>
    <row r="732" ht="12.75" customHeight="1">
      <c r="B732" s="116"/>
    </row>
    <row r="733" ht="12.75" customHeight="1">
      <c r="B733" s="116"/>
    </row>
    <row r="734" ht="12.75" customHeight="1">
      <c r="B734" s="116"/>
    </row>
    <row r="735" ht="12.75" customHeight="1">
      <c r="B735" s="116"/>
    </row>
    <row r="736" ht="12.75" customHeight="1">
      <c r="B736" s="116"/>
    </row>
    <row r="737" ht="12.75" customHeight="1">
      <c r="B737" s="116"/>
    </row>
    <row r="738" ht="12.75" customHeight="1">
      <c r="B738" s="116"/>
    </row>
    <row r="739" ht="12.75" customHeight="1">
      <c r="B739" s="116"/>
    </row>
    <row r="740" ht="12.75" customHeight="1">
      <c r="B740" s="116"/>
    </row>
    <row r="741" ht="12.75" customHeight="1">
      <c r="B741" s="116"/>
    </row>
    <row r="742" ht="12.75" customHeight="1">
      <c r="B742" s="116"/>
    </row>
    <row r="743" ht="12.75" customHeight="1">
      <c r="B743" s="116"/>
    </row>
    <row r="744" ht="12.75" customHeight="1">
      <c r="B744" s="116"/>
    </row>
    <row r="745" ht="12.75" customHeight="1">
      <c r="B745" s="116"/>
    </row>
    <row r="746" ht="12.75" customHeight="1">
      <c r="B746" s="116"/>
    </row>
    <row r="747" ht="12.75" customHeight="1">
      <c r="B747" s="116"/>
    </row>
    <row r="748" ht="12.75" customHeight="1">
      <c r="B748" s="116"/>
    </row>
    <row r="749" ht="12.75" customHeight="1">
      <c r="B749" s="116"/>
    </row>
    <row r="750" ht="12.75" customHeight="1">
      <c r="B750" s="116"/>
    </row>
    <row r="751" ht="12.75" customHeight="1">
      <c r="B751" s="116"/>
    </row>
    <row r="752" ht="12.75" customHeight="1">
      <c r="B752" s="116"/>
    </row>
    <row r="753" ht="12.75" customHeight="1">
      <c r="B753" s="116"/>
    </row>
    <row r="754" ht="12.75" customHeight="1">
      <c r="B754" s="116"/>
    </row>
    <row r="755" ht="12.75" customHeight="1">
      <c r="B755" s="116"/>
    </row>
    <row r="756" ht="12.75" customHeight="1">
      <c r="B756" s="116"/>
    </row>
    <row r="757" ht="12.75" customHeight="1">
      <c r="B757" s="116"/>
    </row>
    <row r="758" ht="12.75" customHeight="1">
      <c r="B758" s="116"/>
    </row>
    <row r="759" ht="12.75" customHeight="1">
      <c r="B759" s="116"/>
    </row>
    <row r="760" ht="12.75" customHeight="1">
      <c r="B760" s="116"/>
    </row>
    <row r="761" ht="12.75" customHeight="1">
      <c r="B761" s="116"/>
    </row>
  </sheetData>
  <sheetProtection/>
  <printOptions/>
  <pageMargins left="1.1811023622047245" right="0.3937007874015748" top="0.984251968503937" bottom="0.984251968503937" header="0.5511811023622047" footer="0.5118110236220472"/>
  <pageSetup fitToHeight="8" fitToWidth="8" horizontalDpi="600" verticalDpi="600" orientation="portrait" paperSize="9" scale="49" r:id="rId1"/>
  <headerFooter alignWithMargins="0">
    <oddHeader>&amp;C
</oddHeader>
  </headerFooter>
  <rowBreaks count="11" manualBreakCount="11">
    <brk id="56" max="9" man="1"/>
    <brk id="113" max="9" man="1"/>
    <brk id="179" max="9" man="1"/>
    <brk id="239" max="9" man="1"/>
    <brk id="304" max="9" man="1"/>
    <brk id="345" max="9" man="1"/>
    <brk id="396" max="9" man="1"/>
    <brk id="456" max="9" man="1"/>
    <brk id="526" max="9" man="1"/>
    <brk id="595" max="9" man="1"/>
    <brk id="6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2">
      <selection activeCell="A595" sqref="A59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.</cp:lastModifiedBy>
  <cp:lastPrinted>2011-11-14T09:12:32Z</cp:lastPrinted>
  <dcterms:created xsi:type="dcterms:W3CDTF">2000-09-19T11:36:23Z</dcterms:created>
  <dcterms:modified xsi:type="dcterms:W3CDTF">2011-11-16T12:33:46Z</dcterms:modified>
  <cp:category/>
  <cp:version/>
  <cp:contentType/>
  <cp:contentStatus/>
</cp:coreProperties>
</file>