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2" activeTab="1"/>
  </bookViews>
  <sheets>
    <sheet name="Arkusz2" sheetId="1" r:id="rId1"/>
    <sheet name="Arkusz1" sheetId="2" r:id="rId2"/>
    <sheet name="Arkusz3" sheetId="3" r:id="rId3"/>
  </sheets>
  <definedNames>
    <definedName name="_xlnm.Print_Area" localSheetId="1">'Arkusz1'!$A$1:$K$758</definedName>
  </definedNames>
  <calcPr fullCalcOnLoad="1"/>
</workbook>
</file>

<file path=xl/sharedStrings.xml><?xml version="1.0" encoding="utf-8"?>
<sst xmlns="http://schemas.openxmlformats.org/spreadsheetml/2006/main" count="805" uniqueCount="418">
  <si>
    <t>Wyszczególnienie</t>
  </si>
  <si>
    <t>* wydatki związane z promocją miasta</t>
  </si>
  <si>
    <t>* inne wydatki rzeczowe</t>
  </si>
  <si>
    <t>* rezerwa ogólna</t>
  </si>
  <si>
    <t>w tym:</t>
  </si>
  <si>
    <t>Dzienny Dom Pomocy Społecznej</t>
  </si>
  <si>
    <t>wydatki związane z profilaktyką i rozwiązywaniem problemów alkoholowych</t>
  </si>
  <si>
    <t>zadania własne</t>
  </si>
  <si>
    <t>zadania zlecone</t>
  </si>
  <si>
    <t>wydatki na dodatki mieszkaniowe</t>
  </si>
  <si>
    <t>RAZEM    WYDATKI</t>
  </si>
  <si>
    <t>* operaty szacunkowe, podziały geodezyjne itp.</t>
  </si>
  <si>
    <t>%</t>
  </si>
  <si>
    <t xml:space="preserve"> </t>
  </si>
  <si>
    <t>* letnie i zimowe oczyszczanie ulic</t>
  </si>
  <si>
    <t>* prace remontowe na terenach zieleni</t>
  </si>
  <si>
    <t>* instytucje kultury - organizacja festiwali i imprez kulturalnych</t>
  </si>
  <si>
    <t>* odbitki map geodezyjnych, kserokopie map, filmy itp..</t>
  </si>
  <si>
    <t>* opłaty związane z wprowadzeniem ścieków opadowych do wód lub ziemi</t>
  </si>
  <si>
    <t>* składka na rzecz Stowarzyszenia MiG Nadodrzańskich</t>
  </si>
  <si>
    <t xml:space="preserve">* dotacja dla MBP </t>
  </si>
  <si>
    <t>pozostałe wydatki bieżące</t>
  </si>
  <si>
    <t>w tym: wydatki bieżące</t>
  </si>
  <si>
    <t xml:space="preserve">* rezerwa celowa </t>
  </si>
  <si>
    <t>świadczenia społeczne</t>
  </si>
  <si>
    <t>* opłata za zużytą wodę na cele przeciwpożarowe</t>
  </si>
  <si>
    <t>promocja i ochrona zdrowia</t>
  </si>
  <si>
    <t>* pozostałe wydatki bieżące</t>
  </si>
  <si>
    <t>dotacja dla jednostek nie zaliczanych do sektora finansów publicznych</t>
  </si>
  <si>
    <t>bieżące utrzymanie MOPS</t>
  </si>
  <si>
    <t>Wyk.</t>
  </si>
  <si>
    <t>Dział</t>
  </si>
  <si>
    <t>010</t>
  </si>
  <si>
    <t>rozdział</t>
  </si>
  <si>
    <t>01095</t>
  </si>
  <si>
    <t>Pozostała działalność</t>
  </si>
  <si>
    <t>Rolnictwo i łowiectwo</t>
  </si>
  <si>
    <t>Transport i łączność</t>
  </si>
  <si>
    <t>Lokalny transport zbiorowy</t>
  </si>
  <si>
    <t>Drogi publiczne gminne</t>
  </si>
  <si>
    <t>Składka na rzecz Izby Rolniczej</t>
  </si>
  <si>
    <t>* Dofinansowanie komunikacji miejskiej</t>
  </si>
  <si>
    <t>Gospodarka mieszkaniowa</t>
  </si>
  <si>
    <t>Różne jednostki obsługi gospodarki mieszkaniowej</t>
  </si>
  <si>
    <t>* zakup inwentaryzacji budowlanych dla wspólnot mieszk.</t>
  </si>
  <si>
    <t>* zwrot zwaloryzowanych kaucji mieszkaniowych</t>
  </si>
  <si>
    <t xml:space="preserve">Gospodarka gruntami i nieruchomościami 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</si>
  <si>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</si>
  <si>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</si>
  <si>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</si>
  <si>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</si>
  <si>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</si>
  <si>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Rada miasta</t>
  </si>
  <si>
    <t>Urząd  miasta</t>
  </si>
  <si>
    <t>Obrona cywilna</t>
  </si>
  <si>
    <t>Straż Miejska</t>
  </si>
  <si>
    <t>Obsługa długu publicznego</t>
  </si>
  <si>
    <t>Różne rozliczenia</t>
  </si>
  <si>
    <t>Oświata i wychowanie</t>
  </si>
  <si>
    <t>Szkoły podstawowe</t>
  </si>
  <si>
    <t>Przedszkola</t>
  </si>
  <si>
    <t>Gimnazja</t>
  </si>
  <si>
    <t>* nauka pływania w szkołach</t>
  </si>
  <si>
    <t>* nauka pływania</t>
  </si>
  <si>
    <t>Zespoły obsługi ekonomiczno-administracyjnej szkół</t>
  </si>
  <si>
    <t>Dokształcanie i doskonalenie nauczycieli</t>
  </si>
  <si>
    <t>Ochrona zdrowia</t>
  </si>
  <si>
    <t>Przeciwdziałanie alkoholizmowi</t>
  </si>
  <si>
    <t xml:space="preserve"> Pozostała działalność</t>
  </si>
  <si>
    <t xml:space="preserve"> Pomoc społeczna                                    </t>
  </si>
  <si>
    <t>Domy pomocy społecznej</t>
  </si>
  <si>
    <t>Dodatki mieszkaniowe</t>
  </si>
  <si>
    <t>Ośrodki pomocy społecznej</t>
  </si>
  <si>
    <t xml:space="preserve">Pozostałe zadania w zakresie polityki społecznej </t>
  </si>
  <si>
    <t>Żłobki</t>
  </si>
  <si>
    <t>Żłobek "Tęczowy Świat"</t>
  </si>
  <si>
    <t>Edukacyjna opieka wychowawcza</t>
  </si>
  <si>
    <t>Świetlice szkolne</t>
  </si>
  <si>
    <t>Gospodarka komunalna i ochrona środowiska</t>
  </si>
  <si>
    <t>Gospodarka ściekowa i ochrona wód</t>
  </si>
  <si>
    <t>* odwodnienie, rowy melioracyjne</t>
  </si>
  <si>
    <t>Gospodarka odpadami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</si>
  <si>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</si>
  <si>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</si>
  <si>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</si>
  <si>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</si>
  <si>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</si>
  <si>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Biblioteki</t>
  </si>
  <si>
    <t>Kultura fizyczna i sport</t>
  </si>
  <si>
    <t>Obiekty sportowe</t>
  </si>
  <si>
    <t>Zadania w zakresie kultury fizycznej i sportu</t>
  </si>
  <si>
    <t>Rezerwy ogólne i celowe</t>
  </si>
  <si>
    <t>Zasiłki i pomoc w naturze oraz składki na ubezpieczenia emerytalne i rentowe</t>
  </si>
  <si>
    <t>wynagrodzenia i pochodne</t>
  </si>
  <si>
    <t>* wynagrodzenia i pochodne</t>
  </si>
  <si>
    <t xml:space="preserve">* wynagrodzenia i pochodne </t>
  </si>
  <si>
    <t xml:space="preserve">* odpis na zakładowy fundusz świadczeń socjalnych dla nauczycieli emerytów i rencistów                   </t>
  </si>
  <si>
    <t xml:space="preserve">w tym: </t>
  </si>
  <si>
    <t>* przygotowanie dokumentacji (np. studia wykonalności projektów)</t>
  </si>
  <si>
    <t>2. Inne zadania</t>
  </si>
  <si>
    <t>1. Bieżące utrzymanie gimnazjów</t>
  </si>
  <si>
    <t xml:space="preserve">2. Inne zadania </t>
  </si>
  <si>
    <t>* na cele oświatowe</t>
  </si>
  <si>
    <t>wydatki bieżące:</t>
  </si>
  <si>
    <t>Bezpieczeństwo publiczne i ochrona przeciwpożarowa</t>
  </si>
  <si>
    <t>Rozliczenia z tyt. poręczeń i gwarancji udzielonych przez Skarb Państwa lub jednostkę samorządu terytorialnego</t>
  </si>
  <si>
    <t>wynagrodzenia i pochodne od wynagrodzeń</t>
  </si>
  <si>
    <t>Dowożenie uczniów do szkół</t>
  </si>
  <si>
    <t>Pomoc materialna dla uczniów</t>
  </si>
  <si>
    <t>* stypendia dla sportowców</t>
  </si>
  <si>
    <t>*MOSiR - realizacja Wieloletniego Programu Szkolenia Sportowego Dzieci i Młodzieży (od 01.03.2006 r.)</t>
  </si>
  <si>
    <t>* ZNM - prace remontowe</t>
  </si>
  <si>
    <t>* wynagrodzenia bezosobowe</t>
  </si>
  <si>
    <t>* wynagrodzenia i pochodne od wynagrodzeń pracowników UM</t>
  </si>
  <si>
    <t>Cmentarze</t>
  </si>
  <si>
    <t>* zadania realizowane na podstawie porozumień z org. admin. rządowej (utrzymanie cmentarzy wojennych)</t>
  </si>
  <si>
    <t>* nagrody i wyróżnienia dla trenerów i sportowców</t>
  </si>
  <si>
    <t>bieżące utrzymanie zespołów</t>
  </si>
  <si>
    <t>* bieżące utrzymanie cmentarzy</t>
  </si>
  <si>
    <t>* Gminna Komisja Urbanistyczno - Architektoniczna - wynagrodzenia i pochodne</t>
  </si>
  <si>
    <t>Promocja jednostek samorządu terytorialnego</t>
  </si>
  <si>
    <t>Zwalczanie narkomanii</t>
  </si>
  <si>
    <t>wydatki na przeciwdziałanie narkomanii</t>
  </si>
  <si>
    <t xml:space="preserve">zadania zlecone </t>
  </si>
  <si>
    <t xml:space="preserve">Miejski Ośrodek Sportu i Rekreacji </t>
  </si>
  <si>
    <t>Miejski Ośrodek Sportu i Rekreacji</t>
  </si>
  <si>
    <t>Kryta pływalnia i kąpielisko odkryte</t>
  </si>
  <si>
    <t xml:space="preserve">  w tym:   wynagr. i pochodne od wynagr.</t>
  </si>
  <si>
    <t xml:space="preserve">                pozostałe wydatki bieżące</t>
  </si>
  <si>
    <t>dotacja dla Powiatu Brzeskiego</t>
  </si>
  <si>
    <t>w tym m. in.:</t>
  </si>
  <si>
    <t>* zadanie zlecone w tym: koszty prowadzenia stałego rejestru wyborców - wynagrodzenia i pochodne od wynagr.</t>
  </si>
  <si>
    <t>zakup energii</t>
  </si>
  <si>
    <t>w tym m.in.:</t>
  </si>
  <si>
    <t>PSP nr 1</t>
  </si>
  <si>
    <t>* dotacja dla podmiotów niezaliczanych do sektora finansów publicznych na organizację festiwali i imprez kulturalnych</t>
  </si>
  <si>
    <t>utrzymanie świetlic</t>
  </si>
  <si>
    <t>* zakup, montaż i demontaż oświetlenia świątecznego miasta</t>
  </si>
  <si>
    <t>* kontynuowanie programu pilotażowego dotyczącego zapobiegania zanieczyszczeniu ulic, placów i terenów zieleni przez zwierzęta</t>
  </si>
  <si>
    <t>Hala Sportowa ul. Oławska i Stadion</t>
  </si>
  <si>
    <t>* dotacja na realizację zadań publicznych z zakresu kultury fizycznej, sportu i turystyki przez podmioty niezaliczane do sektora finansów publicznych</t>
  </si>
  <si>
    <t>* na realizację zadań własnych z zakresu zarządzania kryzysowego</t>
  </si>
  <si>
    <t>ZS nr 1 z OS</t>
  </si>
  <si>
    <t>w tym: wynagrodzenia i pochodne</t>
  </si>
  <si>
    <t>Ochrona zabytków i opieka nad zabytkami</t>
  </si>
  <si>
    <t xml:space="preserve">Analizy, ekspertyzy, opinie </t>
  </si>
  <si>
    <t>* podatki od nieruchomości położonych na terenie Gminy Skarbimierz (Pawłów)</t>
  </si>
  <si>
    <t xml:space="preserve">Kryta pływalnia </t>
  </si>
  <si>
    <t>* zadania własne - wydatki bieżące w tym m.in.utrzymanie i konserwacja pomieszczeń magazynu sprzętu OC</t>
  </si>
  <si>
    <t>* utrzymanie Parku Wolności</t>
  </si>
  <si>
    <t>* ogłoszenia konkursowe</t>
  </si>
  <si>
    <t>wynagrodzenia i pochodne (prace komisji egzaminacyjnych)</t>
  </si>
  <si>
    <t>prowadzenie poradnictwa i interwencji w zakresie przeciwdziałania przemocy w rodzinie (DDPS)</t>
  </si>
  <si>
    <t>* Ubezpieczenie OC dróg gminnych</t>
  </si>
  <si>
    <t>prowadzenie Punktu Pomocy Kryzysowej dla Ofiar Przemocy- DDPS</t>
  </si>
  <si>
    <t>* Punkt Informacji Turystycznej</t>
  </si>
  <si>
    <t>Turystyka</t>
  </si>
  <si>
    <t>Ośrodki informacji turystycznej</t>
  </si>
  <si>
    <t>Obrona narodowa</t>
  </si>
  <si>
    <t>Pozostałe wydatki obronne</t>
  </si>
  <si>
    <t xml:space="preserve">* zadanie zlecone </t>
  </si>
  <si>
    <t>* Opieka nad bezdomnymi zwierzętami w tym m. in. opieka weterynaryjna, przytulisko, zakup karmy</t>
  </si>
  <si>
    <t>* projekt likwidacji barier architektonicznych w budynku Robotnicza 12</t>
  </si>
  <si>
    <t>zakup towarów i usług</t>
  </si>
  <si>
    <t>* opinie prawne na potrzeby Rady Miejskiej</t>
  </si>
  <si>
    <t>zadania zlecone - MOPS</t>
  </si>
  <si>
    <t>01.01.2009 r.</t>
  </si>
  <si>
    <t xml:space="preserve">Plan </t>
  </si>
  <si>
    <t>* opłaty sądowe</t>
  </si>
  <si>
    <t>* remont Domu Przedpogrzebowego ul. Starobrzeska</t>
  </si>
  <si>
    <t>Pobór podatków, opłat i niepodatkowych należności budżetowych</t>
  </si>
  <si>
    <t>* zbiórka przeterminowanych i niewykorzystanych lekarstw</t>
  </si>
  <si>
    <t>konserwacja majątku energetycznego EnergiaPro</t>
  </si>
  <si>
    <t>* Budowa kompleksu sportowego w ramach programu "Moje boisko - Orlik 2012 oraz boiska do gry w softball przy ZS nr 1 z OS w Brzegu"</t>
  </si>
  <si>
    <t>* dotacja dla Powiatu Brzeskiego na dofinansowanie stanowiska koordynatora ds. młodzieży</t>
  </si>
  <si>
    <t>Świadczenia rodzinne, świadczenie z funduszu alimentacyjnego oraz składki na ubezpieczenia emerytalne i rentowe z ubezpieczenia społecznego</t>
  </si>
  <si>
    <t>* Budowa łącznika Łokietka - Trzech Kotwic w Brzegu</t>
  </si>
  <si>
    <t>* Remont i konserwacja przystanków komunikacji miejskiej</t>
  </si>
  <si>
    <t>Wydatki bieżące</t>
  </si>
  <si>
    <t>Wydatki majątkowe</t>
  </si>
  <si>
    <t xml:space="preserve">* ZNM - termomodernizacja budynków mieszkalnych             </t>
  </si>
  <si>
    <t>* diety i delegacje radnych</t>
  </si>
  <si>
    <t>* Remont instalacji elektrycznej w budynku A i B Urzędu Miasta</t>
  </si>
  <si>
    <t>* zadania własne</t>
  </si>
  <si>
    <t>Zarządzanie kryzysowe</t>
  </si>
  <si>
    <t>* zobowiązania z tyt. poręczenia pożyczki dla PWiK Sp. z o.o.</t>
  </si>
  <si>
    <t xml:space="preserve"> 3. Wydatki majątkowe</t>
  </si>
  <si>
    <t xml:space="preserve">* Remont sanitariatów w bud. PSP nr 1 w Brzegu </t>
  </si>
  <si>
    <t>* Budowa sali gimnastycznej przy PSP nr 1 w Brzegu</t>
  </si>
  <si>
    <t>* Dokumentacje projektowe dla budynków PSP</t>
  </si>
  <si>
    <t>1. Bieżące utrzymanie przedszkoli</t>
  </si>
  <si>
    <t>* nauka pływania w przedszkolach</t>
  </si>
  <si>
    <t>3. Wydatki majątkowe</t>
  </si>
  <si>
    <t>* obsługa informatyczna w przedszkolach</t>
  </si>
  <si>
    <t xml:space="preserve">* opłata czynszu za nieruchomości PP nr 8 </t>
  </si>
  <si>
    <t>* Dokumentacja projektowa dla budynków PP (BIM)</t>
  </si>
  <si>
    <t>* Termomodernizacja budynków przedszkoli - PP nr 2, 3, 4, 5, 6, 7, 10,11</t>
  </si>
  <si>
    <t>* dokumentacje projektowe dla budynków gimnazjów (BIM)</t>
  </si>
  <si>
    <t>* Termomodernizacja budynków gimnazjów PG nr 1, 3 i ZS nr 1 z OS</t>
  </si>
  <si>
    <t>* dokształcanie i doskonalenie nauczycieli - szkoły, gimnazja, przedszkola</t>
  </si>
  <si>
    <t>* Program Comenius - Zespół Szkół nr 1 z Oddziałami Sportowymi</t>
  </si>
  <si>
    <t>* roczny abonament "Jednorazowy dodatek uzupełniający Optivum"</t>
  </si>
  <si>
    <t>* roczny abonament pakietów programów komputerowych "Zintegrowany system zarządzania oświatą"</t>
  </si>
  <si>
    <t>Zasiłki stałe</t>
  </si>
  <si>
    <t xml:space="preserve">zadania własne </t>
  </si>
  <si>
    <t>* utrzymanie i remont szaletów miejskich</t>
  </si>
  <si>
    <t>* dokumentacja projektowo-kosztorysowa na remont szaletów</t>
  </si>
  <si>
    <t>* remont koszy przyulicznych</t>
  </si>
  <si>
    <t>* składka na rzecz EKOGOK</t>
  </si>
  <si>
    <t>* Uzupełnienie płytek na zewnątrz</t>
  </si>
  <si>
    <t>* Remont toalet męskich</t>
  </si>
  <si>
    <t>* Remont kabin w przebieralni</t>
  </si>
  <si>
    <t>* Przegląd i zabezpieczenie konstrukcji - I i II etap pokrycia dachowego</t>
  </si>
  <si>
    <t>* dotacja na utrzymanie Punktu Informacji Turystycznej</t>
  </si>
  <si>
    <t xml:space="preserve">* dotacja dla Brzeskiego Centrum Kultury </t>
  </si>
  <si>
    <t>* Projekt "Multieksploratorium" (PG nr 3)</t>
  </si>
  <si>
    <t xml:space="preserve">* Rewitalizacja przestrzeni miejskiej centrum miasta Brzeg </t>
  </si>
  <si>
    <t>* Wykonanie odwodnienia terenu zewnętrznego przy PP nr 3 w Brzegu (BiM)</t>
  </si>
  <si>
    <t>ZS nr 2 z OI</t>
  </si>
  <si>
    <t>* System obiegu dokumentów</t>
  </si>
  <si>
    <t>* nagrody Burmistrza dla Jubilatów - USC</t>
  </si>
  <si>
    <t>* organizacja imprez kulturalnych - Dni Księstwa Brzeskiego</t>
  </si>
  <si>
    <t>* remont budynku BCK</t>
  </si>
  <si>
    <t>* wymiana oświetlenia w Galerii</t>
  </si>
  <si>
    <t>* doposażenie techniki scenicznej</t>
  </si>
  <si>
    <t xml:space="preserve"> w tym: wynagrodzenia i pochodne od wynagrodzeń</t>
  </si>
  <si>
    <t>* Zakup gruntu pod budowę ul. Piwowarskiej</t>
  </si>
  <si>
    <t xml:space="preserve">Zarząd Nieruchomości Miejskich </t>
  </si>
  <si>
    <t>* Komputeryzacja ZNM</t>
  </si>
  <si>
    <t>* składka członkowska Miasta Brzeg dla Związku Miast Polskich</t>
  </si>
  <si>
    <t>* odsetki od kredytów i pożyczek długoterminowych, obsługa obligacji</t>
  </si>
  <si>
    <t>* Zakup zmywarki trójfazowej z funkcją wyparzania</t>
  </si>
  <si>
    <t>* Zakup sprzętu komputerowego dla MOPS w Brzegu</t>
  </si>
  <si>
    <t>w zł</t>
  </si>
  <si>
    <t>Plan</t>
  </si>
  <si>
    <t>* ZNM - wykonanie sieci wodno-kanalizacyjnej ul. Filozofów 2</t>
  </si>
  <si>
    <t>* bieżące utrzymanie Ratusza i budynku przy ul. Robotniczej</t>
  </si>
  <si>
    <t>* Budowa windy dla osób niepełnosprawnych w  ZS nr 2 z OI</t>
  </si>
  <si>
    <t>* Remont i konserwacja drzwi wejściowych i wewnętrznych</t>
  </si>
  <si>
    <t xml:space="preserve">* Budowa drogi dojazdowej do kompleksu przemysłowo-usługowego przy ul. Starobrzeskiej w Brzegu - etap II </t>
  </si>
  <si>
    <r>
      <t>Wydatki majątkowe</t>
    </r>
    <r>
      <rPr>
        <sz val="12"/>
        <rFont val="Arial CE"/>
        <family val="0"/>
      </rPr>
      <t xml:space="preserve">                                  </t>
    </r>
  </si>
  <si>
    <t>Urzędy naczelnych organów władzy państwowej, kontroli                                       i ochrony prawa oraz sądownictwa</t>
  </si>
  <si>
    <t>Obsługa papierów wartościowych, kredytów i pożyczek jednostek samorządu terytorialnego</t>
  </si>
  <si>
    <t>Dochody od osób prawnych, od osób fizycznych i od innych jednostek nieposiadających osobowości prawnej oraz wydatki związane z ich poborem</t>
  </si>
  <si>
    <t>Zadania w zakresie przeciwdziałania przemocy w rodzinie</t>
  </si>
  <si>
    <t xml:space="preserve">Składki na ubezpieczenie zdrowotne opłacane za osoby pobierające niektóre świadczenia z pomocy społecznej, niektóre świadczenia rodzinne oraz za osoby uczestniczące w zajęciach w centrum integracji społecznej </t>
  </si>
  <si>
    <t>* Regionalne Centrum Sportowo-Rekreacyjne w Brzegu - przebudowa boisk z zapleczem</t>
  </si>
  <si>
    <t>* zadania wynikające z programu ochrony środowiska w zakresie zieleni miejskiej</t>
  </si>
  <si>
    <t>* zadania zlecone (USC, OC, ewidencja ludności, wydawanie dowodów osobistych, ewidencja dział. gosp.)  - wynagrodzenia i pochodne od wynagrodzeń</t>
  </si>
  <si>
    <t>* dotacje na prace budowlane, konserwatorskie i restauratorskie                   przy obiektach wpisanych do rejestru zabytków przekazane jednostkom niezaliczanym do sektora finansów publicznych</t>
  </si>
  <si>
    <t>01.01.2010 r.</t>
  </si>
  <si>
    <t>Wykonanie</t>
  </si>
  <si>
    <t>zadania zlecone - zwrot podatku akcyzowego</t>
  </si>
  <si>
    <t>* Wykonanie ekspertyzy rzeczoznawczej - ul. Reja</t>
  </si>
  <si>
    <t>* Budowa ul. Piwowarskiej w Brzegu - etap I "Rozbudowa drogi wewnętrznej łączącej ul. Piwowarską i ul. Boh. Monte Cassino"              (w tym aport pieniężny do PWiK Sp. z o.o. 649.000 zł w 2010 r.)</t>
  </si>
  <si>
    <t>* koszty postępowania sądowego na rzecz ECO</t>
  </si>
  <si>
    <t>* ZNM - remont gminnych lokali mieszkalnych zajmowanych przez rodziny pochodzenia romskiego</t>
  </si>
  <si>
    <t>* II etap odwodnienia cmentarza ul. Starobrzeska - zakończenie</t>
  </si>
  <si>
    <t>* Elektroniczna baza danych osób pochowanych na brzeskich cmentarzach</t>
  </si>
  <si>
    <t>* dokumentacja projektowa na odrestaurowanie kwatery wojennej i pomnika na cmentarzu przy ul. Ofiar Katynia</t>
  </si>
  <si>
    <t>* opracowanie dokumentacji projektowo-kosztorysowej na remont sanitariatów w budynku Ratusza Miejskiego</t>
  </si>
  <si>
    <t>* wydatki związane z procesem sprzedaży akcji ECO S.A.</t>
  </si>
  <si>
    <t>Wybory Prezydenta Rzeczypospolitej Polskiej</t>
  </si>
  <si>
    <t>* zadania zlecone</t>
  </si>
  <si>
    <t>Usuwanie skutków klęsk żywiołowych</t>
  </si>
  <si>
    <t>* zadania własne - usuwanie skutków powodzi maj 2010 r.</t>
  </si>
  <si>
    <t>1. Bieżące utrzymanie szkół podstawowych</t>
  </si>
  <si>
    <t xml:space="preserve">* Doposażenie sprzętu kuchennego w PP nr 4 </t>
  </si>
  <si>
    <t>* Rozbudowa placu zabaw oraz zakup nowych urządzeń zabawowych w PP nr 3</t>
  </si>
  <si>
    <t>PP nr 3</t>
  </si>
  <si>
    <t>PP nr 4</t>
  </si>
  <si>
    <t>PP nr 5</t>
  </si>
  <si>
    <t>* Stworzenie "Miasteczka zdrowia" - zakup wyposażenia oraz zagospodarowanie terenu w PP nr 5</t>
  </si>
  <si>
    <t>* zadania zlecone - konferencja metodyczna "Przełamać barierę hermetyczności, czyli jak dotrzeć do ucznia romskiego"</t>
  </si>
  <si>
    <t>* zadania zlecone - ubezpieczenia uczniów romskich oo następstw nieszczęśliwych wypadków</t>
  </si>
  <si>
    <t>zadania własne - odkomarzanie terenów gminnych dotkniętych powodzią w celu zapewnienia bezpieczeństwa sanitarnego</t>
  </si>
  <si>
    <t>zadania własne - program "Pomoc państwa w zakresie dożywiania"</t>
  </si>
  <si>
    <t>MOPS - zadania własne - pomoc finansowa dla poszkodowanych mieszkańców Gminy Brzeg w czasie powodzi w czerwcu 2010 r.</t>
  </si>
  <si>
    <t>* Opracowanie "Projektu założeń do planu zaopatrzenia w ciepło, energię elektryczną i paliwa gazowe"</t>
  </si>
  <si>
    <t xml:space="preserve">* realizacja zadań z zakresu utrzymania terenów zieleni na terenie gminy </t>
  </si>
  <si>
    <t>* wykonanie zadań w ramach realizacji Planu gospodarki odpadami, Programu ochrony środowiska oraz Programu edukacji ekologicznej</t>
  </si>
  <si>
    <t>* Zakup karuzeli na plac zabaw w Parku Ptasim w Brzegu</t>
  </si>
  <si>
    <t>* organizacja festiwali i imprez kulturalnych</t>
  </si>
  <si>
    <t>* nagrody dla uczestników imprez sportowych</t>
  </si>
  <si>
    <t>* Zakup pługu do odśnieżania</t>
  </si>
  <si>
    <t>* Utrzymanie ulic w tym: remonty cząstkowe, oznakowanie pionowe i poziome, mikrodywaniki, likwidacja barier architektonicznych</t>
  </si>
  <si>
    <t>* wynagrodzenia i pochodne od wynagrodzeń</t>
  </si>
  <si>
    <t xml:space="preserve">Wydatki majątkowe </t>
  </si>
  <si>
    <t xml:space="preserve">* wkład własny w ramach umowy partnerstwa na rzecz realizacji Projektu "Sprawny Samorząd. Wdrażanie usprawnień zarządczych w zarządzaniu jednostką samorządu terytorialnego                w 10 urzędach gmin i 2 starostwach powiatowych z terenu województwa opolskiego i śląskiego" w ramach Programu Operacyjnego Kapitał Ludzki </t>
  </si>
  <si>
    <t>Jednostki specjalistycznego poradnictwa, mieszkania chronione i ośrodki interwencji kryzysowej</t>
  </si>
  <si>
    <t>Usługi opiekuńcze i specjalistyczne usługi opiekuńcze</t>
  </si>
  <si>
    <t>zadania zlecone - zasiłki celowe dla osób poszkodowanych                w wyniku powodzi w maju 2010 r.</t>
  </si>
  <si>
    <t>Wpływy i wydatki związane z gromadzeniem środków z opłat        i kar za korzystanie ze środowiska</t>
  </si>
  <si>
    <t>* Opracowanie dokumentacji projekt. na bud. oświetlenia ulic</t>
  </si>
  <si>
    <t>* koszty energii i konserwacji</t>
  </si>
  <si>
    <t>konserwacja i usuwanie dewastacji majątku energet. Gminy</t>
  </si>
  <si>
    <t>30.09.2010 r.</t>
  </si>
  <si>
    <t>Przewidywane</t>
  </si>
  <si>
    <t>wykonanie</t>
  </si>
  <si>
    <t>2010 r. w zł</t>
  </si>
  <si>
    <t>Projekt</t>
  </si>
  <si>
    <t>2011 r.</t>
  </si>
  <si>
    <t xml:space="preserve">* Remnoty nawierzchni dróg gminnych i mostów </t>
  </si>
  <si>
    <t>* Przebudowa ulicy Kilińskiego w Brzegu</t>
  </si>
  <si>
    <t>* Przebudowa dróg gminnych w obrębie osiedla mieszkaniowego Westerplatte w Brzegu - przebudowa ul.Gaj</t>
  </si>
  <si>
    <t>* Opracowanie ekspertyz i analiz, w tym pomiary natężenia ruchu na drogach gminnych</t>
  </si>
  <si>
    <t>* Przebudowa ulicy Wiedeńskiej w Brzegu</t>
  </si>
  <si>
    <t>* Przebudowa drogi wewnętrznej i terenu placu manewrowego przy ul. Piastowskiej w Brzegu</t>
  </si>
  <si>
    <t>* Przebudowa ulic: Platanowej, Lipowej, Topolowej i Konopnickiej w Brzegu</t>
  </si>
  <si>
    <t>* Budowa chodnika łączącego ulice Szymanowskiego i Starobrzeską</t>
  </si>
  <si>
    <t xml:space="preserve">* ZNM - zmiana sposobu użytkowania pomieszczeń na potrzeby MOPS w budynku na nieruchomości położonej przy ul. B.Chrobrego 32 - adaptacja pomieszczeń na kondygnacji parteru i II piętra </t>
  </si>
  <si>
    <t>* ZNM - projekt budowy budynku socjalnego na 60 mieszkań</t>
  </si>
  <si>
    <t>* Zmiana miejscowego planu zagospodarowania przestrzennego dla obszaru ograniczonego od północy ul. Kopernika, od zachodu ul. Szymanowskiego, od południa i wschodu istniejącymi terenami produkcyjno-magazynowo-składowymi</t>
  </si>
  <si>
    <t xml:space="preserve">* Zmiana planu miejscowego dla obszaru ograniczonego od wschodu ul. Fabryczną i bocznicą kolejową, od północy ul. W. Łokietka, od zachodu ul. Piastowską oraz od południa magistralną linią kolejową </t>
  </si>
  <si>
    <t>* Zmiana planu miejscowego dla zachodniej części miasta</t>
  </si>
  <si>
    <t>* Zmiana planu miejscowego dla wschodniej części Wysp Odrzańskich</t>
  </si>
  <si>
    <t>* Rozbudowa cmentarza przy ul. Starobrzeskiej w Brzegu</t>
  </si>
  <si>
    <t>* Wykonanie chloratora na cmentarzu przy ul. Starobrzeskiej</t>
  </si>
  <si>
    <t>* wykonanie alejek na cmentarzach przy ul. Starobrzeskiej i ul. Ks. Makarskiego</t>
  </si>
  <si>
    <t>* naprawa placu przed Domem Przedpogrzebowym ul. Starobrzeska</t>
  </si>
  <si>
    <t>* Zmiana planu miejscowego dla obszaru wysp odrzańskich po zach. str. ul. Krakusa</t>
  </si>
  <si>
    <t>* opracowanie projektu remontu dachu budynku A Urzędu Miasta</t>
  </si>
  <si>
    <t>*opracowanie projektu remontu dachu budynku Ratusza</t>
  </si>
  <si>
    <t>* Termomodernizacja budynków użyteczności publicznej</t>
  </si>
  <si>
    <t>* Remont sanitariatów w budynku Ratusza Miejskiego</t>
  </si>
  <si>
    <t>* Komputeryzacja Urzędu Miasta</t>
  </si>
  <si>
    <t>* Remont pomieszczeń biurowych w bud. A</t>
  </si>
  <si>
    <t>* remonty bieżące w Ratuszu i budynku przy ul. Robotniczej</t>
  </si>
  <si>
    <t>Spis powszechny i inne</t>
  </si>
  <si>
    <t>zadania zlecone - powszechny spis rolny</t>
  </si>
  <si>
    <t>* zadania zlecone - szacowanie strat w lokalach po powodzi - wynagrodzenia bezosobowe</t>
  </si>
  <si>
    <t>* zadania własne - szacowanie strat w lokalach po powodzi - wynagrodzenia bezosobowe</t>
  </si>
  <si>
    <t>* Remont instalacji hydrantowej i p.poż. PSP nr 3</t>
  </si>
  <si>
    <t>* Remont instalacji hydrantowej i p.poż. PSP nr 5</t>
  </si>
  <si>
    <t>PSP nr 3</t>
  </si>
  <si>
    <t>* Budowa terenowych urządzeń sportowych przy PSP nr 3 w Brzegu</t>
  </si>
  <si>
    <t>PP nr 10</t>
  </si>
  <si>
    <t>PP nr 8</t>
  </si>
  <si>
    <t>* dofinansowanie programów z funduszy strukturalnych UE - wkład własny (BO)</t>
  </si>
  <si>
    <t>* dotacja - porozumienie z Gminą Olszanka na uczęszczanie dziecka do przedszkola w Olszance (BO)</t>
  </si>
  <si>
    <t>* dotacja - porozumienie z Miastem i Gminą Kępno na uczęszczanie dziecka do niepublicznego przedszkola w Kępnie (BO)</t>
  </si>
  <si>
    <t>* Bieżące wydatki, w tym: zakup kwiatów, usługi gastronomiczne          z okazji uroczystości np.. Wręczenia nagrody Burmistrza, nadania awansu zawodowego itp. (BO)</t>
  </si>
  <si>
    <t>* Remonty bieżące w szkołach i realizacja zaleceń pokontrolnych (BO)</t>
  </si>
  <si>
    <t>* Nagrody PRIMUS INTER PARES (BO)</t>
  </si>
  <si>
    <t>* Bieżące wydatki, w tym zakup kwiatów z okazji uroczystości np. nadania awansu zawod., wręczenia nagrody Burmistrza, usługi gastronomiczne itp. (BO)</t>
  </si>
  <si>
    <t>* Dofinansowanie programów z funduszy strukturalnych UE - wkład własny (BO)</t>
  </si>
  <si>
    <t>* Projekt "Akademia Kreatywnego Ekomalucha</t>
  </si>
  <si>
    <t>PP nr 7</t>
  </si>
  <si>
    <t>* Wymiana zestawu zabawowego wraz z domkiem na placu zabaw w PP nr 7</t>
  </si>
  <si>
    <r>
      <t xml:space="preserve">* </t>
    </r>
    <r>
      <rPr>
        <sz val="12"/>
        <rFont val="Arial CE"/>
        <family val="0"/>
      </rPr>
      <t>Montaż baterii z mieszaczami temperatury</t>
    </r>
  </si>
  <si>
    <t>* Zakup do przedszkoli wyposażenia, sprzętu i centrali telefonicznej</t>
  </si>
  <si>
    <t>* Remonty bieżące w przedszkolach i realizacja zaleceń pokontrolnych (BO)</t>
  </si>
  <si>
    <t>* Remonty bieżące w gimnazjach i realizacja zaleceń pokontrolnych (BO)</t>
  </si>
  <si>
    <t>* bieżące wydatki w tym: zakup kwiatów, usługi gastronomiczne        z okazji uroczystości pn. wręczenie nagrody Burmistrza, nadanie stopnia awansu zawodowego itp. (BO)</t>
  </si>
  <si>
    <t>* Zakup centrali telefonicznej do PG nr 1</t>
  </si>
  <si>
    <t>* konserwacja i utrzymanie w czystości boiska ze sztucznej trawy, boiska do gry w softball oraz boiska wielofunkcyjnego (ORLIK 2012) (BO)</t>
  </si>
  <si>
    <t>* PG nr 1 - zakup pomocy naukowych (zgodnie z porozum.)</t>
  </si>
  <si>
    <t>* PG nr 3 - zakup pomocy naukowych (zgodnie z porozum.)</t>
  </si>
  <si>
    <t>* ZS nr 1 z OS - zakup pomocy naukowych (zg. z porozum.)</t>
  </si>
  <si>
    <t>* ZS nr 2 z OI - zakup pomocy naukowych (zg. z porozum.)</t>
  </si>
  <si>
    <t>* Program Kompetencje Kluczowe</t>
  </si>
  <si>
    <t xml:space="preserve">wynagrodzenia i pochodne od wynagrodzeń </t>
  </si>
  <si>
    <t>dowożenie niepełnosprawnych uczniów do szkół  i opieka w drodze do szkoły</t>
  </si>
  <si>
    <t>* zakup podręczników szkolnych dla uczniów romskich - szkoły podstawowe i gimnazja</t>
  </si>
  <si>
    <t>* Zakup szafy chłodniczej</t>
  </si>
  <si>
    <t>* Zakup patelnii elektrycznej</t>
  </si>
  <si>
    <t>* Zakup kuchenki gazowej 4 palnikowej</t>
  </si>
  <si>
    <t>* Zakup mebli kuchennych ze stali nierdzewnej</t>
  </si>
  <si>
    <t>* Projekt "Twój krok do lepszego jutra"</t>
  </si>
  <si>
    <t>* Zakup pralnicy</t>
  </si>
  <si>
    <t xml:space="preserve">* Zakup zmywarki </t>
  </si>
  <si>
    <t>* stypendia dla uczniów za wyniki w nauce i osiągnięcia sportowe</t>
  </si>
  <si>
    <t>* stypendia socjalne i zasiłki dla uczniów</t>
  </si>
  <si>
    <t>* pomoc materialna "Wyprawka szkolna"</t>
  </si>
  <si>
    <t>* zasiłek powodziowy na cele edukacyjne</t>
  </si>
  <si>
    <t>* bieżace utrzymanie terenów zielonych</t>
  </si>
  <si>
    <t>* Realizacja programu rewitalizacji Parku Wolności w Brzegu na lata 2007 - 2020</t>
  </si>
  <si>
    <t>* Opracowanie "Raportu z efektywności wykorzystania energii elektrycznej"</t>
  </si>
  <si>
    <t>* Prace remontowe w przytulisku dla zwierząt</t>
  </si>
  <si>
    <t>* Przygotowanie terenu i zakup urządzeń zabawowych na place zabaw przy ul. Szkolnej, Powstańców Śląskich i M.Konopnickiej</t>
  </si>
  <si>
    <t>* wykonanie projektu zagospodarowania terenu i projektu budowy fontanny z wykorzystaniem figury Grupa Trytona w Brzegu</t>
  </si>
  <si>
    <t>* Remont istniejącego muru nadbrzeżnego wzdłuż rzeki Odry</t>
  </si>
  <si>
    <t>* Dokumentacja projektowa na wykonanie uzbrojenia pod budownictwo mieszkaniowe w Brzegu w rejonie ulic: Lompy-Zielona</t>
  </si>
  <si>
    <t>* Zakup zestawu zabawowego, karuzeli wraz z płotkiem na plac zabaw przy ul. Szkolnej w Brzegu</t>
  </si>
  <si>
    <t xml:space="preserve">* Uzbrojenie terenów pod budownictwo mieszkaniowe w Brzegu w rejonie ulic: Lwowska-Słoneczna </t>
  </si>
  <si>
    <t>* Uzbrojenie terenów pod budownictwo mieszkaniowe w Brzegu w rejonie ulic: Brzechwy-Poznańska</t>
  </si>
  <si>
    <t xml:space="preserve">* Uzbrojenie terenów pod budownictwo mieszkaniowe w Brzegu w rejonie ulic: Lompy-Zielona </t>
  </si>
  <si>
    <t>Modernizacja miejskiego oświetlenia ulicznego w Brzegu</t>
  </si>
  <si>
    <t>*zadania zlecone - przyłącze do Internetu</t>
  </si>
  <si>
    <t>* dotacja na zakup sprzętu komputerowego do Punktu Informacji Turystycznej</t>
  </si>
  <si>
    <t>* dotacja celowa na dofinansowanie zadań z zakresu turystyki zleconych do realizacji stowarzyszeniom</t>
  </si>
  <si>
    <t>* zakup usług remontowo-konserwatorskich dotyczących obiektów zabytkowych będących w użytkowaniu jednostek budżetowych</t>
  </si>
  <si>
    <t>* dotacja na zkup środków trwałych</t>
  </si>
  <si>
    <t>* składki na ubezpieczenia i FP od stypendiów</t>
  </si>
  <si>
    <t>* środki przy BO na dokształcanie i doskonalenie nauczycieli (szkoły, gimnazja, przedszkola) - doradztwo metodyczne</t>
  </si>
  <si>
    <t>* Zakup zestawu zabawowego wraz z płotkiem na plac zabaw przy ul. Wyszyńskiego w Brzegu</t>
  </si>
  <si>
    <t>* Budowa placu zabaw na działce przy ul. Szkolnej 5-17 w Brzegu</t>
  </si>
  <si>
    <t>* Budowa placu zabaw przy ul. M. Konopnickiej 27 w Brzegu</t>
  </si>
  <si>
    <t>* Budowa ogrodzenia placu zabaw przy ul. Oławskiej w Brzegui</t>
  </si>
  <si>
    <t>* Budowa placu zabaw przy ul. Powstańców Śląskich w Brzegu</t>
  </si>
  <si>
    <t>w tym m.in.: świadczenia na rzecz osób fiz.</t>
  </si>
  <si>
    <t xml:space="preserve">          wynagrodzenia i pochodne od wynagr.</t>
  </si>
  <si>
    <t>Urzędy naczelnych organów władzy państwowej, kontroli i ochrony prawa</t>
  </si>
  <si>
    <t xml:space="preserve">* Dokumentacja projektowa na przebudowę 
i budowę dróg gminnych </t>
  </si>
  <si>
    <t>* zmiana miejscowego planu zagospodarowania przestrzennego dla obszarów: I-ograniczonego od wschodu ul. Armii Krajowej, od północy ul. Kardynała Wyszyńskiego, od zachodu                       ul. Myczkowskiego oraz od południa magistralną linią kolejową; II - ograniczonego od wschodu ul. Lwowską, od północy ul. Słoneczną, od zachodu rowem K-7 oraz od południa magistralną linią kolejową; III - ograniczonego od wschodu ul. Starobrzeską, od północy magistralną linią kolejową, od zachodu ul. 1 Maja oraz od południa ul. Słowackiego</t>
  </si>
  <si>
    <t>* Remont instalacji elektrycznej i wykonanie monitoringu zewnętrznego w budynku Urzędu Miasta ul. Robotnicza 12 w Brzegu - zobowiązanie z 2009 r.</t>
  </si>
  <si>
    <t>* Doposażenie sprzętu kuchennego w PP nr 10</t>
  </si>
  <si>
    <r>
      <t xml:space="preserve">* Realizacja programu rewitalizacji zieleni na lata 2007 - 2020 - </t>
    </r>
    <r>
      <rPr>
        <sz val="12"/>
        <color indexed="10"/>
        <rFont val="Arial CE"/>
        <family val="0"/>
      </rPr>
      <t>I etap ul. Starobrzeska</t>
    </r>
  </si>
  <si>
    <t>* Doposażenie ZS nr 1 z OS - przygotowanie na przyjęcie 6 latków (BO)</t>
  </si>
  <si>
    <t xml:space="preserve"> bez POKL</t>
  </si>
  <si>
    <t>* Budowa ścieżki pieszo-rowerowej wraz 
z oświetleniem od ulicy Kusocińskiego do Parku Wolności w Brzegu (zobowiązanie                             z 2009 r.)</t>
  </si>
  <si>
    <t>* Budowa systemu monitoringu miejskiego</t>
  </si>
  <si>
    <t>* Rządowy Program wspierania w latach 2009-2014 "Radosna szkoła"- ZS nr 1 z OS</t>
  </si>
  <si>
    <t>Inkaso opłaty skarbowej - wynagrodzenia</t>
  </si>
  <si>
    <t>* Projekt "Opolska e-szkoła, szkołą ku przyszłości" (PSP nr 5) - dotacja SW</t>
  </si>
  <si>
    <t>* Projekt "Opolska e-szkoła, szkołą ku przyszłości" (PG nr 1) - dotacja SW</t>
  </si>
  <si>
    <t>w złotych</t>
  </si>
  <si>
    <t>MATERIAŁ INFORMACYJNY - PLAN WYDATKÓW BUDŻETOWYCH NA 2011 ROK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</si>
</sst>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\ &quot;zł&quot;"/>
    <numFmt numFmtId="172" formatCode="#,##0.0\ _z_ł"/>
    <numFmt numFmtId="173" formatCode="[$$-C09]#,##0"/>
    <numFmt numFmtId="174" formatCode="#,##0.00\ _z_ł"/>
    <numFmt numFmtId="175" formatCode="0.0%"/>
    <numFmt numFmtId="176" formatCode="#,##0.0\ &quot;zł&quot;"/>
    <numFmt numFmtId="177" formatCode="_-* #,##0.0\ _z_ł_-;\-* #,##0.0\ _z_ł_-;_-* &quot;-&quot;?\ _z_ł_-;_-@_-"/>
    <numFmt numFmtId="178" formatCode="#,##0.0"/>
  </numFmts>
  <fonts count="10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2"/>
      <name val="Symbol"/>
      <family val="1"/>
    </font>
    <font>
      <sz val="12"/>
      <color indexed="10"/>
      <name val="Arial CE"/>
      <family val="0"/>
    </font>
    <font>
      <b/>
      <i/>
      <sz val="12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i/>
      <sz val="12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3" fontId="2" fillId="0" borderId="7" xfId="0" applyNumberFormat="1" applyFont="1" applyBorder="1" applyAlignment="1">
      <alignment horizontal="right"/>
    </xf>
    <xf numFmtId="174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74" fontId="2" fillId="0" borderId="5" xfId="0" applyNumberFormat="1" applyFont="1" applyBorder="1" applyAlignment="1">
      <alignment horizontal="right"/>
    </xf>
    <xf numFmtId="49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3" fontId="2" fillId="0" borderId="9" xfId="0" applyNumberFormat="1" applyFont="1" applyBorder="1" applyAlignment="1">
      <alignment/>
    </xf>
    <xf numFmtId="174" fontId="2" fillId="0" borderId="9" xfId="0" applyNumberFormat="1" applyFont="1" applyBorder="1" applyAlignment="1">
      <alignment horizontal="right"/>
    </xf>
    <xf numFmtId="174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74" fontId="2" fillId="0" borderId="5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left"/>
    </xf>
    <xf numFmtId="3" fontId="1" fillId="0" borderId="9" xfId="0" applyNumberFormat="1" applyFont="1" applyBorder="1" applyAlignment="1">
      <alignment/>
    </xf>
    <xf numFmtId="174" fontId="1" fillId="0" borderId="9" xfId="0" applyNumberFormat="1" applyFont="1" applyBorder="1" applyAlignment="1">
      <alignment horizontal="right"/>
    </xf>
    <xf numFmtId="174" fontId="1" fillId="0" borderId="9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174" fontId="1" fillId="0" borderId="5" xfId="0" applyNumberFormat="1" applyFont="1" applyBorder="1" applyAlignment="1">
      <alignment/>
    </xf>
    <xf numFmtId="174" fontId="3" fillId="0" borderId="11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/>
    </xf>
    <xf numFmtId="174" fontId="2" fillId="0" borderId="7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174" fontId="1" fillId="0" borderId="5" xfId="0" applyNumberFormat="1" applyFont="1" applyBorder="1" applyAlignment="1">
      <alignment horizontal="right"/>
    </xf>
    <xf numFmtId="174" fontId="3" fillId="0" borderId="5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174" fontId="2" fillId="0" borderId="9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174" fontId="2" fillId="0" borderId="11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5" xfId="0" applyFont="1" applyBorder="1" applyAlignment="1">
      <alignment wrapText="1"/>
    </xf>
    <xf numFmtId="3" fontId="1" fillId="0" borderId="5" xfId="0" applyNumberFormat="1" applyFont="1" applyBorder="1" applyAlignment="1">
      <alignment/>
    </xf>
    <xf numFmtId="174" fontId="1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3" fontId="5" fillId="0" borderId="11" xfId="0" applyNumberFormat="1" applyFont="1" applyBorder="1" applyAlignment="1">
      <alignment/>
    </xf>
    <xf numFmtId="174" fontId="5" fillId="0" borderId="11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2" borderId="7" xfId="0" applyNumberFormat="1" applyFont="1" applyFill="1" applyBorder="1" applyAlignment="1">
      <alignment/>
    </xf>
    <xf numFmtId="174" fontId="2" fillId="2" borderId="7" xfId="0" applyNumberFormat="1" applyFont="1" applyFill="1" applyBorder="1" applyAlignment="1">
      <alignment/>
    </xf>
    <xf numFmtId="0" fontId="2" fillId="0" borderId="9" xfId="0" applyFont="1" applyBorder="1" applyAlignment="1">
      <alignment vertical="top" wrapText="1" shrinkToFit="1"/>
    </xf>
    <xf numFmtId="0" fontId="2" fillId="0" borderId="11" xfId="0" applyFont="1" applyBorder="1" applyAlignment="1">
      <alignment wrapText="1"/>
    </xf>
    <xf numFmtId="174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174" fontId="2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174" fontId="1" fillId="0" borderId="13" xfId="0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174" fontId="1" fillId="0" borderId="5" xfId="0" applyNumberFormat="1" applyFont="1" applyBorder="1" applyAlignment="1">
      <alignment horizontal="right"/>
    </xf>
    <xf numFmtId="174" fontId="1" fillId="0" borderId="14" xfId="0" applyNumberFormat="1" applyFont="1" applyBorder="1" applyAlignment="1">
      <alignment horizontal="right"/>
    </xf>
    <xf numFmtId="0" fontId="2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174" fontId="1" fillId="0" borderId="11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/>
    </xf>
    <xf numFmtId="0" fontId="2" fillId="0" borderId="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5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3" fontId="1" fillId="0" borderId="14" xfId="0" applyNumberFormat="1" applyFont="1" applyBorder="1" applyAlignment="1">
      <alignment/>
    </xf>
    <xf numFmtId="174" fontId="1" fillId="0" borderId="14" xfId="0" applyNumberFormat="1" applyFont="1" applyBorder="1" applyAlignment="1">
      <alignment/>
    </xf>
    <xf numFmtId="0" fontId="2" fillId="0" borderId="9" xfId="0" applyFont="1" applyBorder="1" applyAlignment="1">
      <alignment wrapText="1"/>
    </xf>
    <xf numFmtId="3" fontId="1" fillId="0" borderId="9" xfId="0" applyNumberFormat="1" applyFont="1" applyBorder="1" applyAlignment="1">
      <alignment wrapText="1"/>
    </xf>
    <xf numFmtId="174" fontId="1" fillId="0" borderId="5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/>
    </xf>
    <xf numFmtId="0" fontId="2" fillId="0" borderId="5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174" fontId="5" fillId="0" borderId="5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74" fontId="1" fillId="0" borderId="15" xfId="0" applyNumberFormat="1" applyFont="1" applyBorder="1" applyAlignment="1">
      <alignment horizontal="right"/>
    </xf>
    <xf numFmtId="174" fontId="1" fillId="0" borderId="7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74" fontId="1" fillId="0" borderId="10" xfId="0" applyNumberFormat="1" applyFont="1" applyBorder="1" applyAlignment="1">
      <alignment horizontal="right"/>
    </xf>
    <xf numFmtId="174" fontId="1" fillId="0" borderId="6" xfId="0" applyNumberFormat="1" applyFont="1" applyBorder="1" applyAlignment="1">
      <alignment horizontal="right"/>
    </xf>
    <xf numFmtId="0" fontId="1" fillId="0" borderId="9" xfId="0" applyFont="1" applyBorder="1" applyAlignment="1">
      <alignment wrapText="1"/>
    </xf>
    <xf numFmtId="3" fontId="5" fillId="0" borderId="5" xfId="0" applyNumberFormat="1" applyFont="1" applyBorder="1" applyAlignment="1">
      <alignment/>
    </xf>
    <xf numFmtId="174" fontId="5" fillId="0" borderId="5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74" fontId="1" fillId="0" borderId="9" xfId="0" applyNumberFormat="1" applyFont="1" applyBorder="1" applyAlignment="1">
      <alignment horizontal="right"/>
    </xf>
    <xf numFmtId="174" fontId="1" fillId="0" borderId="9" xfId="0" applyNumberFormat="1" applyFont="1" applyBorder="1" applyAlignment="1">
      <alignment/>
    </xf>
    <xf numFmtId="0" fontId="1" fillId="0" borderId="5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0" fontId="2" fillId="0" borderId="7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/>
    </xf>
    <xf numFmtId="174" fontId="2" fillId="0" borderId="13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174" fontId="3" fillId="0" borderId="8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0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0" xfId="0" applyFont="1" applyBorder="1" applyAlignment="1">
      <alignment/>
    </xf>
    <xf numFmtId="174" fontId="2" fillId="0" borderId="5" xfId="0" applyNumberFormat="1" applyFont="1" applyBorder="1" applyAlignment="1">
      <alignment horizontal="right"/>
    </xf>
    <xf numFmtId="0" fontId="6" fillId="0" borderId="9" xfId="0" applyFont="1" applyBorder="1" applyAlignment="1">
      <alignment wrapText="1"/>
    </xf>
    <xf numFmtId="174" fontId="2" fillId="0" borderId="7" xfId="0" applyNumberFormat="1" applyFont="1" applyBorder="1" applyAlignment="1">
      <alignment horizontal="right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17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174" fontId="5" fillId="0" borderId="5" xfId="0" applyNumberFormat="1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74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9" xfId="0" applyFont="1" applyBorder="1" applyAlignment="1">
      <alignment horizontal="center" vertical="top"/>
    </xf>
    <xf numFmtId="174" fontId="1" fillId="0" borderId="18" xfId="0" applyNumberFormat="1" applyFont="1" applyBorder="1" applyAlignment="1">
      <alignment horizontal="right"/>
    </xf>
    <xf numFmtId="0" fontId="3" fillId="0" borderId="5" xfId="0" applyFont="1" applyBorder="1" applyAlignment="1">
      <alignment wrapText="1"/>
    </xf>
    <xf numFmtId="174" fontId="1" fillId="0" borderId="7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174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174" fontId="1" fillId="0" borderId="20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2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5" xfId="0" applyFont="1" applyBorder="1" applyAlignment="1">
      <alignment wrapText="1"/>
    </xf>
    <xf numFmtId="3" fontId="3" fillId="0" borderId="5" xfId="0" applyNumberFormat="1" applyFont="1" applyBorder="1" applyAlignment="1">
      <alignment/>
    </xf>
    <xf numFmtId="174" fontId="3" fillId="0" borderId="5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3" fontId="3" fillId="0" borderId="23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74" fontId="1" fillId="0" borderId="1" xfId="0" applyNumberFormat="1" applyFont="1" applyBorder="1" applyAlignment="1">
      <alignment horizontal="right"/>
    </xf>
    <xf numFmtId="174" fontId="3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174" fontId="2" fillId="0" borderId="2" xfId="0" applyNumberFormat="1" applyFont="1" applyBorder="1" applyAlignment="1">
      <alignment horizontal="right"/>
    </xf>
    <xf numFmtId="174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174" fontId="1" fillId="0" borderId="3" xfId="0" applyNumberFormat="1" applyFont="1" applyBorder="1" applyAlignment="1">
      <alignment horizontal="right"/>
    </xf>
    <xf numFmtId="174" fontId="2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5" xfId="0" applyFont="1" applyBorder="1" applyAlignment="1">
      <alignment vertical="top" wrapText="1"/>
    </xf>
    <xf numFmtId="3" fontId="1" fillId="0" borderId="15" xfId="0" applyNumberFormat="1" applyFont="1" applyBorder="1" applyAlignment="1">
      <alignment/>
    </xf>
    <xf numFmtId="174" fontId="1" fillId="0" borderId="15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2" borderId="24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164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3" fontId="5" fillId="0" borderId="14" xfId="0" applyNumberFormat="1" applyFont="1" applyBorder="1" applyAlignment="1">
      <alignment/>
    </xf>
    <xf numFmtId="174" fontId="5" fillId="0" borderId="9" xfId="0" applyNumberFormat="1" applyFont="1" applyBorder="1" applyAlignment="1">
      <alignment/>
    </xf>
    <xf numFmtId="39" fontId="2" fillId="0" borderId="9" xfId="0" applyNumberFormat="1" applyFont="1" applyBorder="1" applyAlignment="1">
      <alignment/>
    </xf>
    <xf numFmtId="39" fontId="2" fillId="0" borderId="11" xfId="0" applyNumberFormat="1" applyFont="1" applyBorder="1" applyAlignment="1">
      <alignment/>
    </xf>
    <xf numFmtId="39" fontId="2" fillId="0" borderId="5" xfId="0" applyNumberFormat="1" applyFont="1" applyBorder="1" applyAlignment="1">
      <alignment/>
    </xf>
    <xf numFmtId="174" fontId="2" fillId="0" borderId="9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3" fontId="1" fillId="0" borderId="13" xfId="0" applyNumberFormat="1" applyFont="1" applyBorder="1" applyAlignment="1">
      <alignment/>
    </xf>
    <xf numFmtId="174" fontId="1" fillId="0" borderId="23" xfId="0" applyNumberFormat="1" applyFont="1" applyBorder="1" applyAlignment="1">
      <alignment/>
    </xf>
    <xf numFmtId="0" fontId="1" fillId="0" borderId="23" xfId="0" applyFont="1" applyBorder="1" applyAlignment="1">
      <alignment wrapText="1"/>
    </xf>
    <xf numFmtId="174" fontId="1" fillId="0" borderId="23" xfId="0" applyNumberFormat="1" applyFont="1" applyBorder="1" applyAlignment="1">
      <alignment horizontal="right"/>
    </xf>
    <xf numFmtId="174" fontId="2" fillId="0" borderId="14" xfId="0" applyNumberFormat="1" applyFont="1" applyBorder="1" applyAlignment="1">
      <alignment/>
    </xf>
    <xf numFmtId="174" fontId="3" fillId="0" borderId="9" xfId="0" applyNumberFormat="1" applyFont="1" applyBorder="1" applyAlignment="1">
      <alignment/>
    </xf>
    <xf numFmtId="174" fontId="3" fillId="0" borderId="11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74" fontId="3" fillId="0" borderId="0" xfId="0" applyNumberFormat="1" applyFont="1" applyAlignment="1">
      <alignment/>
    </xf>
    <xf numFmtId="174" fontId="3" fillId="0" borderId="13" xfId="0" applyNumberFormat="1" applyFont="1" applyBorder="1" applyAlignment="1">
      <alignment/>
    </xf>
    <xf numFmtId="174" fontId="3" fillId="0" borderId="8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174" fontId="5" fillId="0" borderId="14" xfId="0" applyNumberFormat="1" applyFont="1" applyBorder="1" applyAlignment="1">
      <alignment/>
    </xf>
    <xf numFmtId="174" fontId="3" fillId="0" borderId="14" xfId="0" applyNumberFormat="1" applyFont="1" applyBorder="1" applyAlignment="1">
      <alignment/>
    </xf>
    <xf numFmtId="174" fontId="5" fillId="0" borderId="23" xfId="0" applyNumberFormat="1" applyFont="1" applyBorder="1" applyAlignment="1">
      <alignment/>
    </xf>
    <xf numFmtId="174" fontId="3" fillId="0" borderId="1" xfId="0" applyNumberFormat="1" applyFont="1" applyBorder="1" applyAlignment="1">
      <alignment/>
    </xf>
    <xf numFmtId="174" fontId="3" fillId="0" borderId="3" xfId="0" applyNumberFormat="1" applyFont="1" applyBorder="1" applyAlignment="1">
      <alignment/>
    </xf>
    <xf numFmtId="0" fontId="1" fillId="0" borderId="5" xfId="0" applyFont="1" applyBorder="1" applyAlignment="1">
      <alignment horizontal="left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4" fontId="1" fillId="0" borderId="9" xfId="0" applyNumberFormat="1" applyFont="1" applyBorder="1" applyAlignment="1">
      <alignment horizontal="right" wrapText="1"/>
    </xf>
    <xf numFmtId="174" fontId="1" fillId="0" borderId="17" xfId="0" applyNumberFormat="1" applyFont="1" applyBorder="1" applyAlignment="1">
      <alignment horizontal="right"/>
    </xf>
    <xf numFmtId="0" fontId="1" fillId="0" borderId="14" xfId="0" applyFont="1" applyBorder="1" applyAlignment="1">
      <alignment wrapText="1"/>
    </xf>
    <xf numFmtId="3" fontId="5" fillId="0" borderId="14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1" fillId="0" borderId="14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174" fontId="5" fillId="0" borderId="9" xfId="0" applyNumberFormat="1" applyFont="1" applyBorder="1" applyAlignment="1">
      <alignment/>
    </xf>
    <xf numFmtId="174" fontId="1" fillId="0" borderId="11" xfId="0" applyNumberFormat="1" applyFont="1" applyBorder="1" applyAlignment="1">
      <alignment/>
    </xf>
    <xf numFmtId="174" fontId="5" fillId="0" borderId="11" xfId="0" applyNumberFormat="1" applyFont="1" applyBorder="1" applyAlignment="1">
      <alignment/>
    </xf>
    <xf numFmtId="174" fontId="2" fillId="0" borderId="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9" fillId="0" borderId="0" xfId="0" applyFont="1" applyAlignment="1">
      <alignment/>
    </xf>
    <xf numFmtId="0" fontId="2" fillId="0" borderId="9" xfId="0" applyFont="1" applyBorder="1" applyAlignment="1">
      <alignment vertical="top" wrapText="1" shrinkToFit="1"/>
    </xf>
    <xf numFmtId="3" fontId="2" fillId="0" borderId="9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" sqref="F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68"/>
  <sheetViews>
    <sheetView tabSelected="1" zoomScale="80" zoomScaleNormal="80" zoomScaleSheetLayoutView="75" workbookViewId="0" topLeftCell="A1">
      <selection activeCell="L565" sqref="L565"/>
    </sheetView>
  </sheetViews>
  <sheetFormatPr defaultColWidth="9.00390625" defaultRowHeight="12.75" customHeight="1"/>
  <cols>
    <col min="1" max="1" width="8.75390625" style="1" customWidth="1"/>
    <col min="2" max="2" width="47.75390625" style="1" customWidth="1"/>
    <col min="3" max="3" width="13.875" style="1" hidden="1" customWidth="1"/>
    <col min="4" max="4" width="14.375" style="1" hidden="1" customWidth="1"/>
    <col min="5" max="5" width="19.75390625" style="1" hidden="1" customWidth="1"/>
    <col min="6" max="6" width="19.375" style="1" customWidth="1"/>
    <col min="7" max="7" width="18.25390625" style="1" customWidth="1"/>
    <col min="8" max="8" width="10.25390625" style="1" customWidth="1"/>
    <col min="9" max="10" width="19.375" style="1" customWidth="1"/>
    <col min="11" max="11" width="12.75390625" style="1" customWidth="1"/>
    <col min="12" max="12" width="23.25390625" style="1" customWidth="1"/>
    <col min="13" max="16384" width="9.125" style="1" customWidth="1"/>
  </cols>
  <sheetData>
    <row r="1" spans="1:11" ht="19.5" customHeight="1">
      <c r="A1" s="262" t="s">
        <v>417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3" ht="12.75" customHeight="1" thickBot="1">
      <c r="K3" s="261" t="s">
        <v>416</v>
      </c>
    </row>
    <row r="4" spans="1:11" ht="15.75">
      <c r="A4" s="2"/>
      <c r="B4" s="3"/>
      <c r="C4" s="4"/>
      <c r="D4" s="5"/>
      <c r="E4" s="4"/>
      <c r="F4" s="4"/>
      <c r="G4" s="4"/>
      <c r="H4" s="4"/>
      <c r="I4" s="4"/>
      <c r="J4" s="4"/>
      <c r="K4" s="4"/>
    </row>
    <row r="5" spans="1:11" ht="15.75">
      <c r="A5" s="6" t="s">
        <v>31</v>
      </c>
      <c r="B5" s="7" t="s">
        <v>0</v>
      </c>
      <c r="C5" s="8" t="s">
        <v>167</v>
      </c>
      <c r="D5" s="8" t="s">
        <v>30</v>
      </c>
      <c r="E5" s="8" t="s">
        <v>234</v>
      </c>
      <c r="F5" s="8" t="s">
        <v>234</v>
      </c>
      <c r="G5" s="8" t="s">
        <v>251</v>
      </c>
      <c r="H5" s="8" t="s">
        <v>30</v>
      </c>
      <c r="I5" s="8" t="s">
        <v>297</v>
      </c>
      <c r="J5" s="8" t="s">
        <v>300</v>
      </c>
      <c r="K5" s="8" t="s">
        <v>30</v>
      </c>
    </row>
    <row r="6" spans="1:11" ht="15.75">
      <c r="A6" s="6" t="s">
        <v>33</v>
      </c>
      <c r="B6" s="9"/>
      <c r="C6" s="8" t="s">
        <v>166</v>
      </c>
      <c r="D6" s="10" t="s">
        <v>12</v>
      </c>
      <c r="E6" s="8" t="s">
        <v>250</v>
      </c>
      <c r="F6" s="8" t="s">
        <v>296</v>
      </c>
      <c r="G6" s="8" t="s">
        <v>296</v>
      </c>
      <c r="H6" s="8" t="s">
        <v>12</v>
      </c>
      <c r="I6" s="8" t="s">
        <v>298</v>
      </c>
      <c r="J6" s="8" t="s">
        <v>301</v>
      </c>
      <c r="K6" s="8" t="s">
        <v>12</v>
      </c>
    </row>
    <row r="7" spans="1:11" ht="16.5" thickBot="1">
      <c r="A7" s="11"/>
      <c r="B7" s="12"/>
      <c r="C7" s="13"/>
      <c r="D7" s="13"/>
      <c r="E7" s="13" t="s">
        <v>233</v>
      </c>
      <c r="F7" s="13" t="s">
        <v>233</v>
      </c>
      <c r="G7" s="13" t="s">
        <v>233</v>
      </c>
      <c r="H7" s="13"/>
      <c r="I7" s="13" t="s">
        <v>299</v>
      </c>
      <c r="J7" s="13" t="s">
        <v>233</v>
      </c>
      <c r="K7" s="13"/>
    </row>
    <row r="8" spans="1:11" ht="15.75">
      <c r="A8" s="14">
        <v>1</v>
      </c>
      <c r="B8" s="14">
        <v>2</v>
      </c>
      <c r="C8" s="15">
        <v>3</v>
      </c>
      <c r="D8" s="16">
        <v>9</v>
      </c>
      <c r="E8" s="15">
        <v>3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</row>
    <row r="9" spans="1:11" ht="15.75">
      <c r="A9" s="17"/>
      <c r="B9" s="18"/>
      <c r="C9" s="19"/>
      <c r="D9" s="20"/>
      <c r="E9" s="19"/>
      <c r="F9" s="19"/>
      <c r="G9" s="19"/>
      <c r="H9" s="19"/>
      <c r="I9" s="19"/>
      <c r="J9" s="19"/>
      <c r="K9" s="19"/>
    </row>
    <row r="10" spans="1:11" ht="16.5" thickBot="1">
      <c r="A10" s="21" t="s">
        <v>32</v>
      </c>
      <c r="B10" s="22" t="s">
        <v>36</v>
      </c>
      <c r="C10" s="23">
        <f>SUM(C12)</f>
        <v>1500</v>
      </c>
      <c r="D10" s="24" t="e">
        <f>(C10/#REF!)*100</f>
        <v>#REF!</v>
      </c>
      <c r="E10" s="24">
        <f>SUM(E12)</f>
        <v>1500</v>
      </c>
      <c r="F10" s="24">
        <f>SUM(F12)</f>
        <v>3156</v>
      </c>
      <c r="G10" s="24">
        <f>SUM(G12)</f>
        <v>1948.29</v>
      </c>
      <c r="H10" s="24">
        <f>SUM(G10/F10)*100</f>
        <v>61.7328897338403</v>
      </c>
      <c r="I10" s="24">
        <f>SUM(I12)</f>
        <v>2255.29</v>
      </c>
      <c r="J10" s="24">
        <f>SUM(J12)</f>
        <v>1500</v>
      </c>
      <c r="K10" s="24">
        <f>SUM(J10/I10)*100</f>
        <v>66.51029357643586</v>
      </c>
    </row>
    <row r="11" spans="1:11" ht="12.75" customHeight="1" thickTop="1">
      <c r="A11" s="25"/>
      <c r="B11" s="26"/>
      <c r="C11" s="27"/>
      <c r="D11" s="28"/>
      <c r="E11" s="29"/>
      <c r="F11" s="29"/>
      <c r="G11" s="29"/>
      <c r="H11" s="29"/>
      <c r="I11" s="29"/>
      <c r="J11" s="29"/>
      <c r="K11" s="29"/>
    </row>
    <row r="12" spans="1:11" ht="15.75">
      <c r="A12" s="30" t="s">
        <v>34</v>
      </c>
      <c r="B12" s="31" t="s">
        <v>35</v>
      </c>
      <c r="C12" s="32">
        <f>SUM(C14:C14)</f>
        <v>1500</v>
      </c>
      <c r="D12" s="33" t="e">
        <f>(C12/#REF!)*100</f>
        <v>#REF!</v>
      </c>
      <c r="E12" s="34">
        <f>SUM(E14:E15)</f>
        <v>1500</v>
      </c>
      <c r="F12" s="34">
        <f>SUM(F14:F15)</f>
        <v>3156</v>
      </c>
      <c r="G12" s="34">
        <f>SUM(G14:G15)</f>
        <v>1948.29</v>
      </c>
      <c r="H12" s="34">
        <f>SUM(G12/F12)*100</f>
        <v>61.7328897338403</v>
      </c>
      <c r="I12" s="34">
        <f>SUM(I14:I15)</f>
        <v>2255.29</v>
      </c>
      <c r="J12" s="34">
        <f>SUM(J14:J15)</f>
        <v>1500</v>
      </c>
      <c r="K12" s="34">
        <f>SUM(J12/I12)*100</f>
        <v>66.51029357643586</v>
      </c>
    </row>
    <row r="13" spans="1:11" ht="15.75">
      <c r="A13" s="17"/>
      <c r="B13" s="26"/>
      <c r="C13" s="35"/>
      <c r="D13" s="36"/>
      <c r="E13" s="37"/>
      <c r="F13" s="37"/>
      <c r="G13" s="37"/>
      <c r="H13" s="37"/>
      <c r="I13" s="37"/>
      <c r="J13" s="37"/>
      <c r="K13" s="37"/>
    </row>
    <row r="14" spans="1:11" ht="15">
      <c r="A14" s="63"/>
      <c r="B14" s="39" t="s">
        <v>40</v>
      </c>
      <c r="C14" s="40">
        <v>1500</v>
      </c>
      <c r="D14" s="41" t="e">
        <f>(C14/#REF!)*100</f>
        <v>#REF!</v>
      </c>
      <c r="E14" s="42">
        <v>1500</v>
      </c>
      <c r="F14" s="42">
        <v>1500</v>
      </c>
      <c r="G14" s="42">
        <v>293</v>
      </c>
      <c r="H14" s="42">
        <f>SUM(G14/F14)*100</f>
        <v>19.53333333333333</v>
      </c>
      <c r="I14" s="42">
        <v>600</v>
      </c>
      <c r="J14" s="42">
        <v>1500</v>
      </c>
      <c r="K14" s="42">
        <f>SUM(J14/I14)*100</f>
        <v>250</v>
      </c>
    </row>
    <row r="15" spans="1:11" ht="15">
      <c r="A15" s="38"/>
      <c r="B15" s="214" t="s">
        <v>252</v>
      </c>
      <c r="C15" s="106"/>
      <c r="D15" s="95"/>
      <c r="E15" s="107">
        <v>0</v>
      </c>
      <c r="F15" s="107">
        <v>1656</v>
      </c>
      <c r="G15" s="107">
        <v>1655.29</v>
      </c>
      <c r="H15" s="42">
        <f>SUM(G15/F15)*100</f>
        <v>99.95712560386472</v>
      </c>
      <c r="I15" s="107">
        <v>1655.29</v>
      </c>
      <c r="J15" s="107">
        <v>0</v>
      </c>
      <c r="K15" s="42">
        <f>SUM(J15/I15)*100</f>
        <v>0</v>
      </c>
    </row>
    <row r="16" spans="1:11" ht="12.75" customHeight="1">
      <c r="A16" s="43"/>
      <c r="B16" s="44"/>
      <c r="C16" s="45"/>
      <c r="D16" s="213"/>
      <c r="E16" s="46"/>
      <c r="F16" s="46"/>
      <c r="G16" s="46"/>
      <c r="H16" s="46"/>
      <c r="I16" s="46"/>
      <c r="J16" s="46"/>
      <c r="K16" s="46"/>
    </row>
    <row r="17" spans="1:11" ht="12.75" customHeight="1">
      <c r="A17" s="47"/>
      <c r="B17" s="47"/>
      <c r="C17" s="48"/>
      <c r="D17" s="49"/>
      <c r="E17" s="50"/>
      <c r="F17" s="50"/>
      <c r="G17" s="50"/>
      <c r="H17" s="50"/>
      <c r="I17" s="50"/>
      <c r="J17" s="50"/>
      <c r="K17" s="50"/>
    </row>
    <row r="18" spans="1:11" ht="16.5" thickBot="1">
      <c r="A18" s="51">
        <v>600</v>
      </c>
      <c r="B18" s="52" t="s">
        <v>37</v>
      </c>
      <c r="C18" s="53">
        <f>SUM(C20,C26)</f>
        <v>5449000</v>
      </c>
      <c r="D18" s="24" t="e">
        <f>(C18/#REF!)*100</f>
        <v>#REF!</v>
      </c>
      <c r="E18" s="54">
        <f>SUM(E20,E26)</f>
        <v>8133440</v>
      </c>
      <c r="F18" s="54">
        <f>SUM(F20,F26)</f>
        <v>5357440</v>
      </c>
      <c r="G18" s="54">
        <f>SUM(G20,G26)</f>
        <v>2487068.91</v>
      </c>
      <c r="H18" s="24">
        <f>SUM(G18/F18)*100</f>
        <v>46.42271140694063</v>
      </c>
      <c r="I18" s="54">
        <f>SUM(I20,I26)</f>
        <v>4624357.04</v>
      </c>
      <c r="J18" s="54">
        <f>SUM(J20,J26)</f>
        <v>10780688</v>
      </c>
      <c r="K18" s="24">
        <f>SUM(J18/I18)*100</f>
        <v>233.12836588413597</v>
      </c>
    </row>
    <row r="19" spans="1:11" ht="16.5" thickTop="1">
      <c r="A19" s="17"/>
      <c r="B19" s="17"/>
      <c r="C19" s="55"/>
      <c r="D19" s="56"/>
      <c r="E19" s="57"/>
      <c r="F19" s="57"/>
      <c r="G19" s="57"/>
      <c r="H19" s="57"/>
      <c r="I19" s="57"/>
      <c r="J19" s="57"/>
      <c r="K19" s="57"/>
    </row>
    <row r="20" spans="1:11" ht="15.75">
      <c r="A20" s="58">
        <v>60004</v>
      </c>
      <c r="B20" s="59" t="s">
        <v>38</v>
      </c>
      <c r="C20" s="32">
        <f>SUM(C22:C24)</f>
        <v>850000</v>
      </c>
      <c r="D20" s="60" t="e">
        <f>(C20/#REF!)*100</f>
        <v>#REF!</v>
      </c>
      <c r="E20" s="34">
        <f>SUM(E22:E24)</f>
        <v>855000</v>
      </c>
      <c r="F20" s="34">
        <f>SUM(F22:F24)</f>
        <v>790000</v>
      </c>
      <c r="G20" s="34">
        <f>SUM(G22:G24)</f>
        <v>586382.47</v>
      </c>
      <c r="H20" s="34">
        <f>SUM(G20/F20)*100</f>
        <v>74.22562911392406</v>
      </c>
      <c r="I20" s="34">
        <f>SUM(I22:I24)</f>
        <v>786982.47</v>
      </c>
      <c r="J20" s="34">
        <f>SUM(J22:J24)</f>
        <v>785000</v>
      </c>
      <c r="K20" s="34">
        <f>SUM(J20/I20)*100</f>
        <v>99.74809222878879</v>
      </c>
    </row>
    <row r="21" spans="1:11" ht="15.75">
      <c r="A21" s="17"/>
      <c r="B21" s="47"/>
      <c r="C21" s="61"/>
      <c r="D21" s="56"/>
      <c r="E21" s="62"/>
      <c r="F21" s="62"/>
      <c r="G21" s="62"/>
      <c r="H21" s="62"/>
      <c r="I21" s="62"/>
      <c r="J21" s="62"/>
      <c r="K21" s="62"/>
    </row>
    <row r="22" spans="1:11" ht="15">
      <c r="A22" s="63"/>
      <c r="B22" s="64" t="s">
        <v>41</v>
      </c>
      <c r="C22" s="40">
        <v>830000</v>
      </c>
      <c r="D22" s="41" t="e">
        <f>(C22/#REF!)*100</f>
        <v>#REF!</v>
      </c>
      <c r="E22" s="42">
        <v>850000</v>
      </c>
      <c r="F22" s="42">
        <v>785000</v>
      </c>
      <c r="G22" s="42">
        <v>586382.47</v>
      </c>
      <c r="H22" s="42">
        <f>SUM(G22/F22)*100</f>
        <v>74.69840382165604</v>
      </c>
      <c r="I22" s="42">
        <v>781982.47</v>
      </c>
      <c r="J22" s="42">
        <v>780000</v>
      </c>
      <c r="K22" s="42">
        <f>SUM(J22/I22)*100</f>
        <v>99.74648152918313</v>
      </c>
    </row>
    <row r="23" spans="1:11" ht="15">
      <c r="A23" s="63"/>
      <c r="B23" s="65"/>
      <c r="C23" s="66"/>
      <c r="D23" s="56"/>
      <c r="E23" s="67"/>
      <c r="F23" s="67"/>
      <c r="G23" s="67"/>
      <c r="H23" s="67"/>
      <c r="I23" s="67"/>
      <c r="J23" s="67"/>
      <c r="K23" s="67"/>
    </row>
    <row r="24" spans="1:11" ht="12.75" customHeight="1">
      <c r="A24" s="63"/>
      <c r="B24" s="64" t="s">
        <v>177</v>
      </c>
      <c r="C24" s="40">
        <v>20000</v>
      </c>
      <c r="D24" s="41" t="e">
        <f>(C24/#REF!)*100</f>
        <v>#REF!</v>
      </c>
      <c r="E24" s="42">
        <v>5000</v>
      </c>
      <c r="F24" s="42">
        <v>5000</v>
      </c>
      <c r="G24" s="42">
        <v>0</v>
      </c>
      <c r="H24" s="42">
        <f>SUM(G24/F24)*100</f>
        <v>0</v>
      </c>
      <c r="I24" s="42">
        <v>5000</v>
      </c>
      <c r="J24" s="42">
        <f>10000-5000</f>
        <v>5000</v>
      </c>
      <c r="K24" s="42">
        <f>SUM(J24/I24)*100</f>
        <v>100</v>
      </c>
    </row>
    <row r="25" spans="1:11" ht="15.75">
      <c r="A25" s="17"/>
      <c r="B25" s="68"/>
      <c r="C25" s="55"/>
      <c r="D25" s="56"/>
      <c r="E25" s="57"/>
      <c r="F25" s="57"/>
      <c r="G25" s="57"/>
      <c r="H25" s="57"/>
      <c r="I25" s="57"/>
      <c r="J25" s="57"/>
      <c r="K25" s="57"/>
    </row>
    <row r="26" spans="1:11" ht="15.75">
      <c r="A26" s="58">
        <v>60016</v>
      </c>
      <c r="B26" s="59" t="s">
        <v>39</v>
      </c>
      <c r="C26" s="69">
        <f>SUM(C28:C46)</f>
        <v>4599000</v>
      </c>
      <c r="D26" s="60" t="e">
        <f>(C26/#REF!)*100</f>
        <v>#REF!</v>
      </c>
      <c r="E26" s="34">
        <f>SUM(E28:E33,E35)</f>
        <v>7278440</v>
      </c>
      <c r="F26" s="34">
        <f>SUM(F28:F33,F35)</f>
        <v>4567440</v>
      </c>
      <c r="G26" s="34">
        <f>SUM(G28:G33,G35)</f>
        <v>1900686.44</v>
      </c>
      <c r="H26" s="34">
        <f>SUM(G26/F26)*100</f>
        <v>41.61382393638449</v>
      </c>
      <c r="I26" s="34">
        <f>SUM(I28:I33,I35)</f>
        <v>3837374.57</v>
      </c>
      <c r="J26" s="34">
        <f>SUM(J28:J33,J35)</f>
        <v>9995688</v>
      </c>
      <c r="K26" s="34">
        <f>SUM(J26/I26)*100</f>
        <v>260.48246835596245</v>
      </c>
    </row>
    <row r="27" spans="1:11" ht="15.75">
      <c r="A27" s="17"/>
      <c r="B27" s="70"/>
      <c r="C27" s="55"/>
      <c r="D27" s="56"/>
      <c r="E27" s="57"/>
      <c r="F27" s="57"/>
      <c r="G27" s="57"/>
      <c r="H27" s="57"/>
      <c r="I27" s="57"/>
      <c r="J27" s="57"/>
      <c r="K27" s="57"/>
    </row>
    <row r="28" spans="1:11" ht="30.75">
      <c r="A28" s="17"/>
      <c r="B28" s="71" t="s">
        <v>302</v>
      </c>
      <c r="C28" s="40">
        <v>1200000</v>
      </c>
      <c r="D28" s="41" t="e">
        <f>(C28/#REF!)*100</f>
        <v>#REF!</v>
      </c>
      <c r="E28" s="42">
        <v>1200000</v>
      </c>
      <c r="F28" s="42">
        <v>427908</v>
      </c>
      <c r="G28" s="42">
        <v>397744.4</v>
      </c>
      <c r="H28" s="42">
        <f aca="true" t="shared" si="0" ref="H28:H33">SUM(G28/F28)*100</f>
        <v>92.95091468259533</v>
      </c>
      <c r="I28" s="42">
        <v>427908</v>
      </c>
      <c r="J28" s="42">
        <f>465000-165000</f>
        <v>300000</v>
      </c>
      <c r="K28" s="42">
        <f>SUM(J28/I28)*100</f>
        <v>70.10852800134609</v>
      </c>
    </row>
    <row r="29" spans="1:11" ht="60.75">
      <c r="A29" s="17"/>
      <c r="B29" s="71" t="s">
        <v>285</v>
      </c>
      <c r="C29" s="40">
        <v>1200000</v>
      </c>
      <c r="D29" s="41" t="e">
        <f>(C29/#REF!)*100</f>
        <v>#REF!</v>
      </c>
      <c r="E29" s="42">
        <v>1200000</v>
      </c>
      <c r="F29" s="42">
        <v>566840</v>
      </c>
      <c r="G29" s="42">
        <v>367852.34</v>
      </c>
      <c r="H29" s="42">
        <f t="shared" si="0"/>
        <v>64.89526850610402</v>
      </c>
      <c r="I29" s="42">
        <v>521840</v>
      </c>
      <c r="J29" s="42">
        <f>525000-100000-125000</f>
        <v>300000</v>
      </c>
      <c r="K29" s="42">
        <f>SUM(J29/I29)*100</f>
        <v>57.48888548214012</v>
      </c>
    </row>
    <row r="30" spans="1:11" ht="15.75">
      <c r="A30" s="17"/>
      <c r="B30" s="71" t="s">
        <v>153</v>
      </c>
      <c r="C30" s="40">
        <v>20000</v>
      </c>
      <c r="D30" s="41">
        <v>0</v>
      </c>
      <c r="E30" s="42">
        <v>20000</v>
      </c>
      <c r="F30" s="42">
        <v>20000</v>
      </c>
      <c r="G30" s="42">
        <v>20000</v>
      </c>
      <c r="H30" s="42">
        <f t="shared" si="0"/>
        <v>100</v>
      </c>
      <c r="I30" s="42">
        <v>20000</v>
      </c>
      <c r="J30" s="42">
        <v>20000</v>
      </c>
      <c r="K30" s="42">
        <f>SUM(J30/I30)*100</f>
        <v>100</v>
      </c>
    </row>
    <row r="31" spans="1:11" ht="30.75">
      <c r="A31" s="17"/>
      <c r="B31" s="215" t="s">
        <v>253</v>
      </c>
      <c r="C31" s="106"/>
      <c r="D31" s="95"/>
      <c r="E31" s="107">
        <v>0</v>
      </c>
      <c r="F31" s="107">
        <v>20252</v>
      </c>
      <c r="G31" s="107">
        <v>20252</v>
      </c>
      <c r="H31" s="42">
        <f t="shared" si="0"/>
        <v>100</v>
      </c>
      <c r="I31" s="107">
        <v>20252</v>
      </c>
      <c r="J31" s="107">
        <v>0</v>
      </c>
      <c r="K31" s="42">
        <f>SUM(J31/I31)*100</f>
        <v>0</v>
      </c>
    </row>
    <row r="32" spans="1:11" ht="45.75">
      <c r="A32" s="17"/>
      <c r="B32" s="215" t="s">
        <v>305</v>
      </c>
      <c r="C32" s="106"/>
      <c r="D32" s="95"/>
      <c r="E32" s="107"/>
      <c r="F32" s="107">
        <v>2000</v>
      </c>
      <c r="G32" s="107">
        <v>500</v>
      </c>
      <c r="H32" s="107">
        <f t="shared" si="0"/>
        <v>25</v>
      </c>
      <c r="I32" s="107">
        <v>500</v>
      </c>
      <c r="J32" s="107">
        <v>1000</v>
      </c>
      <c r="K32" s="107">
        <f>SUM(J32/I32)*100</f>
        <v>200</v>
      </c>
    </row>
    <row r="33" spans="1:11" ht="30.75">
      <c r="A33" s="17"/>
      <c r="B33" s="73" t="s">
        <v>403</v>
      </c>
      <c r="C33" s="40">
        <v>400000</v>
      </c>
      <c r="D33" s="41" t="e">
        <f>(C33/#REF!)*100</f>
        <v>#REF!</v>
      </c>
      <c r="E33" s="42">
        <v>250000</v>
      </c>
      <c r="F33" s="42">
        <v>248000</v>
      </c>
      <c r="G33" s="42">
        <v>54518.13</v>
      </c>
      <c r="H33" s="42">
        <f t="shared" si="0"/>
        <v>21.98311693548387</v>
      </c>
      <c r="I33" s="42">
        <v>210000</v>
      </c>
      <c r="J33" s="42">
        <f>200000-80000-20000</f>
        <v>100000</v>
      </c>
      <c r="K33" s="42">
        <f>SUM(J33/I33)*100</f>
        <v>47.61904761904761</v>
      </c>
    </row>
    <row r="34" spans="1:11" ht="15.75">
      <c r="A34" s="17"/>
      <c r="B34" s="74"/>
      <c r="C34" s="35"/>
      <c r="D34" s="56"/>
      <c r="E34" s="37"/>
      <c r="F34" s="37"/>
      <c r="G34" s="37"/>
      <c r="H34" s="37"/>
      <c r="I34" s="37"/>
      <c r="J34" s="37"/>
      <c r="K34" s="37"/>
    </row>
    <row r="35" spans="1:11" ht="15.75">
      <c r="A35" s="17"/>
      <c r="B35" s="74" t="s">
        <v>179</v>
      </c>
      <c r="C35" s="35"/>
      <c r="D35" s="56"/>
      <c r="E35" s="37">
        <f>SUM(E38:E46)</f>
        <v>4608440</v>
      </c>
      <c r="F35" s="37">
        <f>SUM(F38:F58)</f>
        <v>3282440</v>
      </c>
      <c r="G35" s="37">
        <f>SUM(G38:G58)</f>
        <v>1039819.57</v>
      </c>
      <c r="H35" s="37">
        <f>SUM(G35/F35)*100</f>
        <v>31.678250630628433</v>
      </c>
      <c r="I35" s="37">
        <f>SUM(I38:I58)</f>
        <v>2636874.57</v>
      </c>
      <c r="J35" s="37">
        <f>SUM(J38:J58)</f>
        <v>9274688</v>
      </c>
      <c r="K35" s="37">
        <f>SUM(J35/I35)*100</f>
        <v>351.73034415512603</v>
      </c>
    </row>
    <row r="36" spans="1:11" ht="15.75">
      <c r="A36" s="17"/>
      <c r="B36" s="74" t="s">
        <v>4</v>
      </c>
      <c r="C36" s="35"/>
      <c r="D36" s="56"/>
      <c r="E36" s="37"/>
      <c r="F36" s="37"/>
      <c r="G36" s="37"/>
      <c r="H36" s="37"/>
      <c r="I36" s="37"/>
      <c r="J36" s="37"/>
      <c r="K36" s="37"/>
    </row>
    <row r="37" spans="1:11" ht="15.75">
      <c r="A37" s="17"/>
      <c r="B37" s="74"/>
      <c r="C37" s="55"/>
      <c r="D37" s="56"/>
      <c r="E37" s="57"/>
      <c r="F37" s="57"/>
      <c r="G37" s="57"/>
      <c r="H37" s="57"/>
      <c r="I37" s="57"/>
      <c r="J37" s="57"/>
      <c r="K37" s="57"/>
    </row>
    <row r="38" spans="1:11" ht="45.75">
      <c r="A38" s="17"/>
      <c r="B38" s="71" t="s">
        <v>239</v>
      </c>
      <c r="C38" s="66">
        <f>701000-501000</f>
        <v>200000</v>
      </c>
      <c r="D38" s="41" t="e">
        <f>(C38/#REF!)*100</f>
        <v>#REF!</v>
      </c>
      <c r="E38" s="67">
        <v>1000000</v>
      </c>
      <c r="F38" s="67">
        <v>20000</v>
      </c>
      <c r="G38" s="67">
        <v>0</v>
      </c>
      <c r="H38" s="42">
        <f>SUM(G38/F38)*100</f>
        <v>0</v>
      </c>
      <c r="I38" s="67">
        <v>0</v>
      </c>
      <c r="J38" s="67">
        <v>799132</v>
      </c>
      <c r="K38" s="42">
        <v>0</v>
      </c>
    </row>
    <row r="39" spans="1:11" ht="15.75">
      <c r="A39" s="17"/>
      <c r="B39" s="75"/>
      <c r="C39" s="76"/>
      <c r="D39" s="56"/>
      <c r="E39" s="77"/>
      <c r="F39" s="77"/>
      <c r="G39" s="77"/>
      <c r="H39" s="77"/>
      <c r="I39" s="77"/>
      <c r="J39" s="77"/>
      <c r="K39" s="77"/>
    </row>
    <row r="40" spans="1:11" ht="30.75">
      <c r="A40" s="17"/>
      <c r="B40" s="71" t="s">
        <v>216</v>
      </c>
      <c r="C40" s="40">
        <v>1029000</v>
      </c>
      <c r="D40" s="41" t="e">
        <f>(C40/#REF!)*100</f>
        <v>#REF!</v>
      </c>
      <c r="E40" s="42">
        <v>1800000</v>
      </c>
      <c r="F40" s="42">
        <v>944000</v>
      </c>
      <c r="G40" s="42">
        <v>2945</v>
      </c>
      <c r="H40" s="42">
        <f>SUM(G40/F40)*100</f>
        <v>0.3119703389830508</v>
      </c>
      <c r="I40" s="42">
        <v>700000</v>
      </c>
      <c r="J40" s="42">
        <v>3850556</v>
      </c>
      <c r="K40" s="42">
        <f>SUM(J40/I40)*100</f>
        <v>550.0794285714286</v>
      </c>
    </row>
    <row r="41" spans="1:11" ht="12.75" customHeight="1">
      <c r="A41" s="17"/>
      <c r="B41" s="72"/>
      <c r="C41" s="66"/>
      <c r="D41" s="56"/>
      <c r="E41" s="67"/>
      <c r="F41" s="67"/>
      <c r="G41" s="67"/>
      <c r="H41" s="67"/>
      <c r="I41" s="67"/>
      <c r="J41" s="67"/>
      <c r="K41" s="67"/>
    </row>
    <row r="42" spans="1:11" ht="60.75">
      <c r="A42" s="17"/>
      <c r="B42" s="71" t="s">
        <v>410</v>
      </c>
      <c r="C42" s="40">
        <v>100000</v>
      </c>
      <c r="D42" s="41"/>
      <c r="E42" s="42">
        <v>63440</v>
      </c>
      <c r="F42" s="42">
        <v>63440</v>
      </c>
      <c r="G42" s="42">
        <v>63440</v>
      </c>
      <c r="H42" s="42">
        <f>SUM(G42/F42)*100</f>
        <v>100</v>
      </c>
      <c r="I42" s="42">
        <v>63440</v>
      </c>
      <c r="J42" s="42">
        <v>0</v>
      </c>
      <c r="K42" s="42">
        <f>SUM(J42/I42)*100</f>
        <v>0</v>
      </c>
    </row>
    <row r="43" spans="1:11" ht="15.75">
      <c r="A43" s="17"/>
      <c r="B43" s="72"/>
      <c r="C43" s="66"/>
      <c r="D43" s="56"/>
      <c r="E43" s="67"/>
      <c r="F43" s="67"/>
      <c r="G43" s="67"/>
      <c r="H43" s="67"/>
      <c r="I43" s="67"/>
      <c r="J43" s="67"/>
      <c r="K43" s="67"/>
    </row>
    <row r="44" spans="1:11" ht="75.75">
      <c r="A44" s="17"/>
      <c r="B44" s="71" t="s">
        <v>254</v>
      </c>
      <c r="C44" s="40">
        <v>450000</v>
      </c>
      <c r="D44" s="41">
        <v>0</v>
      </c>
      <c r="E44" s="42">
        <f>1075000+170000</f>
        <v>1245000</v>
      </c>
      <c r="F44" s="42">
        <v>1055000</v>
      </c>
      <c r="G44" s="42">
        <v>967334.57</v>
      </c>
      <c r="H44" s="42">
        <f>SUM(G44/F44)*100</f>
        <v>91.69048056872037</v>
      </c>
      <c r="I44" s="42">
        <v>967334.57</v>
      </c>
      <c r="J44" s="42">
        <v>0</v>
      </c>
      <c r="K44" s="42">
        <f>SUM(J44/I44)*100</f>
        <v>0</v>
      </c>
    </row>
    <row r="45" spans="1:11" ht="15.75">
      <c r="A45" s="17"/>
      <c r="B45" s="72"/>
      <c r="C45" s="66"/>
      <c r="D45" s="56"/>
      <c r="E45" s="67"/>
      <c r="F45" s="67"/>
      <c r="G45" s="67"/>
      <c r="H45" s="67"/>
      <c r="I45" s="67"/>
      <c r="J45" s="67"/>
      <c r="K45" s="67"/>
    </row>
    <row r="46" spans="1:11" ht="30.75">
      <c r="A46" s="17"/>
      <c r="B46" s="71" t="s">
        <v>176</v>
      </c>
      <c r="C46" s="79"/>
      <c r="D46" s="41"/>
      <c r="E46" s="42">
        <v>500000</v>
      </c>
      <c r="F46" s="42">
        <v>500000</v>
      </c>
      <c r="G46" s="42">
        <v>6100</v>
      </c>
      <c r="H46" s="42">
        <f>SUM(G46/F46)*100</f>
        <v>1.22</v>
      </c>
      <c r="I46" s="42">
        <v>206100</v>
      </c>
      <c r="J46" s="42">
        <v>400000</v>
      </c>
      <c r="K46" s="42">
        <f>SUM(J46/I46)*100</f>
        <v>194.0805434255216</v>
      </c>
    </row>
    <row r="47" spans="1:11" ht="15" customHeight="1">
      <c r="A47" s="17"/>
      <c r="B47" s="242"/>
      <c r="C47" s="78"/>
      <c r="D47" s="56"/>
      <c r="E47" s="67"/>
      <c r="F47" s="67"/>
      <c r="G47" s="67"/>
      <c r="H47" s="67"/>
      <c r="I47" s="67"/>
      <c r="J47" s="67"/>
      <c r="K47" s="67"/>
    </row>
    <row r="48" spans="1:11" ht="45.75">
      <c r="A48" s="17"/>
      <c r="B48" s="73" t="s">
        <v>304</v>
      </c>
      <c r="C48" s="79"/>
      <c r="D48" s="41"/>
      <c r="E48" s="42"/>
      <c r="F48" s="42">
        <v>700000</v>
      </c>
      <c r="G48" s="42">
        <v>0</v>
      </c>
      <c r="H48" s="42">
        <f>SUM(G48/F48)*100</f>
        <v>0</v>
      </c>
      <c r="I48" s="42">
        <v>700000</v>
      </c>
      <c r="J48" s="42">
        <v>0</v>
      </c>
      <c r="K48" s="42">
        <f>SUM(J48/I48)*100</f>
        <v>0</v>
      </c>
    </row>
    <row r="49" spans="1:11" ht="15.75">
      <c r="A49" s="17"/>
      <c r="B49" s="242"/>
      <c r="C49" s="78"/>
      <c r="D49" s="56"/>
      <c r="E49" s="67"/>
      <c r="F49" s="67"/>
      <c r="G49" s="67"/>
      <c r="H49" s="67"/>
      <c r="I49" s="67"/>
      <c r="J49" s="67"/>
      <c r="K49" s="67"/>
    </row>
    <row r="50" spans="1:11" ht="15.75">
      <c r="A50" s="17"/>
      <c r="B50" s="71" t="s">
        <v>303</v>
      </c>
      <c r="C50" s="40">
        <v>0</v>
      </c>
      <c r="D50" s="41"/>
      <c r="E50" s="42">
        <v>600000</v>
      </c>
      <c r="F50" s="42">
        <v>0</v>
      </c>
      <c r="G50" s="42">
        <v>0</v>
      </c>
      <c r="H50" s="42">
        <v>0</v>
      </c>
      <c r="I50" s="42">
        <v>0</v>
      </c>
      <c r="J50" s="42">
        <v>1410000</v>
      </c>
      <c r="K50" s="42">
        <v>0</v>
      </c>
    </row>
    <row r="51" spans="1:11" ht="15" customHeight="1">
      <c r="A51" s="17"/>
      <c r="B51" s="242"/>
      <c r="C51" s="78"/>
      <c r="D51" s="56"/>
      <c r="E51" s="67"/>
      <c r="F51" s="67"/>
      <c r="G51" s="67"/>
      <c r="H51" s="67"/>
      <c r="I51" s="67"/>
      <c r="J51" s="67"/>
      <c r="K51" s="67"/>
    </row>
    <row r="52" spans="1:11" ht="15" customHeight="1">
      <c r="A52" s="17"/>
      <c r="B52" s="73" t="s">
        <v>306</v>
      </c>
      <c r="C52" s="79"/>
      <c r="D52" s="41"/>
      <c r="E52" s="42"/>
      <c r="F52" s="42">
        <v>0</v>
      </c>
      <c r="G52" s="42">
        <v>0</v>
      </c>
      <c r="H52" s="42">
        <v>0</v>
      </c>
      <c r="I52" s="42">
        <v>0</v>
      </c>
      <c r="J52" s="42">
        <v>465000</v>
      </c>
      <c r="K52" s="42">
        <v>0</v>
      </c>
    </row>
    <row r="53" spans="1:11" ht="15" customHeight="1">
      <c r="A53" s="17"/>
      <c r="B53" s="242"/>
      <c r="C53" s="78"/>
      <c r="D53" s="56"/>
      <c r="E53" s="67"/>
      <c r="F53" s="67"/>
      <c r="G53" s="67"/>
      <c r="H53" s="67"/>
      <c r="I53" s="67"/>
      <c r="J53" s="67"/>
      <c r="K53" s="67"/>
    </row>
    <row r="54" spans="1:11" ht="45.75">
      <c r="A54" s="17"/>
      <c r="B54" s="73" t="s">
        <v>307</v>
      </c>
      <c r="C54" s="79"/>
      <c r="D54" s="41"/>
      <c r="E54" s="42"/>
      <c r="F54" s="42">
        <v>0</v>
      </c>
      <c r="G54" s="42">
        <v>0</v>
      </c>
      <c r="H54" s="42">
        <v>0</v>
      </c>
      <c r="I54" s="42">
        <v>0</v>
      </c>
      <c r="J54" s="42">
        <v>750000</v>
      </c>
      <c r="K54" s="42">
        <v>0</v>
      </c>
    </row>
    <row r="55" spans="1:11" ht="15" customHeight="1">
      <c r="A55" s="17"/>
      <c r="B55" s="242"/>
      <c r="C55" s="78"/>
      <c r="D55" s="56"/>
      <c r="E55" s="67"/>
      <c r="F55" s="67"/>
      <c r="G55" s="67"/>
      <c r="H55" s="67"/>
      <c r="I55" s="67"/>
      <c r="J55" s="67"/>
      <c r="K55" s="67"/>
    </row>
    <row r="56" spans="1:11" ht="30.75">
      <c r="A56" s="17"/>
      <c r="B56" s="73" t="s">
        <v>308</v>
      </c>
      <c r="C56" s="79"/>
      <c r="D56" s="41"/>
      <c r="E56" s="42"/>
      <c r="F56" s="42">
        <v>0</v>
      </c>
      <c r="G56" s="42">
        <v>0</v>
      </c>
      <c r="H56" s="42">
        <v>0</v>
      </c>
      <c r="I56" s="42">
        <v>0</v>
      </c>
      <c r="J56" s="42">
        <v>1400000</v>
      </c>
      <c r="K56" s="42">
        <v>0</v>
      </c>
    </row>
    <row r="57" spans="1:11" ht="15" customHeight="1">
      <c r="A57" s="17"/>
      <c r="B57" s="242"/>
      <c r="C57" s="78"/>
      <c r="D57" s="56"/>
      <c r="E57" s="67"/>
      <c r="F57" s="67"/>
      <c r="G57" s="67"/>
      <c r="H57" s="67"/>
      <c r="I57" s="67"/>
      <c r="J57" s="67"/>
      <c r="K57" s="67"/>
    </row>
    <row r="58" spans="1:11" ht="30.75">
      <c r="A58" s="59"/>
      <c r="B58" s="73" t="s">
        <v>309</v>
      </c>
      <c r="C58" s="79"/>
      <c r="D58" s="41"/>
      <c r="E58" s="42"/>
      <c r="F58" s="42">
        <v>0</v>
      </c>
      <c r="G58" s="42">
        <v>0</v>
      </c>
      <c r="H58" s="42">
        <v>0</v>
      </c>
      <c r="I58" s="42">
        <v>0</v>
      </c>
      <c r="J58" s="42">
        <v>200000</v>
      </c>
      <c r="K58" s="42">
        <v>0</v>
      </c>
    </row>
    <row r="59" spans="1:11" ht="15.75">
      <c r="A59" s="47"/>
      <c r="B59" s="47"/>
      <c r="C59" s="61"/>
      <c r="D59" s="56"/>
      <c r="E59" s="62"/>
      <c r="F59" s="62"/>
      <c r="G59" s="62"/>
      <c r="H59" s="62"/>
      <c r="I59" s="62"/>
      <c r="J59" s="62"/>
      <c r="K59" s="62"/>
    </row>
    <row r="60" spans="1:11" ht="16.5" thickBot="1">
      <c r="A60" s="51">
        <v>630</v>
      </c>
      <c r="B60" s="52" t="s">
        <v>156</v>
      </c>
      <c r="C60" s="81">
        <f>SUM(C64)</f>
        <v>120000</v>
      </c>
      <c r="D60" s="24">
        <v>0</v>
      </c>
      <c r="E60" s="82">
        <f>SUM(E64)</f>
        <v>180200</v>
      </c>
      <c r="F60" s="82">
        <f>SUM(F62)</f>
        <v>200200</v>
      </c>
      <c r="G60" s="82">
        <f>SUM(G62)</f>
        <v>195775.77</v>
      </c>
      <c r="H60" s="24">
        <f>SUM(G60/F60)*100</f>
        <v>97.7900949050949</v>
      </c>
      <c r="I60" s="82">
        <f>SUM(I62)</f>
        <v>195775.77</v>
      </c>
      <c r="J60" s="82">
        <f>SUM(J62)</f>
        <v>7000</v>
      </c>
      <c r="K60" s="24">
        <f>SUM(J60/I60)*100</f>
        <v>3.575519074704699</v>
      </c>
    </row>
    <row r="61" spans="1:11" ht="16.5" thickTop="1">
      <c r="A61" s="25"/>
      <c r="B61" s="25"/>
      <c r="C61" s="55"/>
      <c r="D61" s="56">
        <v>0</v>
      </c>
      <c r="E61" s="57"/>
      <c r="F61" s="57"/>
      <c r="G61" s="57"/>
      <c r="H61" s="57"/>
      <c r="I61" s="57"/>
      <c r="J61" s="57"/>
      <c r="K61" s="193"/>
    </row>
    <row r="62" spans="1:11" ht="15.75">
      <c r="A62" s="58">
        <v>63001</v>
      </c>
      <c r="B62" s="259" t="s">
        <v>157</v>
      </c>
      <c r="C62" s="260">
        <f>SUM(C64)</f>
        <v>120000</v>
      </c>
      <c r="D62" s="60">
        <v>0</v>
      </c>
      <c r="E62" s="221">
        <f>SUM(E64)</f>
        <v>180200</v>
      </c>
      <c r="F62" s="221">
        <f>SUM(F64,F67)</f>
        <v>200200</v>
      </c>
      <c r="G62" s="221">
        <f>SUM(G64,G67)</f>
        <v>195775.77</v>
      </c>
      <c r="H62" s="221">
        <f>SUM(G62/F62)*100</f>
        <v>97.7900949050949</v>
      </c>
      <c r="I62" s="221">
        <f>SUM(I64,I67)</f>
        <v>195775.77</v>
      </c>
      <c r="J62" s="221">
        <f>SUM(J64,J67)</f>
        <v>7000</v>
      </c>
      <c r="K62" s="221">
        <f>SUM(J62/I62)*100</f>
        <v>3.575519074704699</v>
      </c>
    </row>
    <row r="63" spans="1:11" ht="12.75" customHeight="1">
      <c r="A63" s="47"/>
      <c r="B63" s="84"/>
      <c r="C63" s="61"/>
      <c r="D63" s="85"/>
      <c r="E63" s="62"/>
      <c r="F63" s="62"/>
      <c r="G63" s="62"/>
      <c r="H63" s="62"/>
      <c r="I63" s="62"/>
      <c r="J63" s="62"/>
      <c r="K63" s="229"/>
    </row>
    <row r="64" spans="1:11" ht="15">
      <c r="A64" s="63"/>
      <c r="B64" s="86" t="s">
        <v>155</v>
      </c>
      <c r="C64" s="40">
        <v>120000</v>
      </c>
      <c r="D64" s="41">
        <v>0</v>
      </c>
      <c r="E64" s="42">
        <f>SUM(E66:E66)</f>
        <v>180200</v>
      </c>
      <c r="F64" s="42">
        <f>SUM(F66:F66)</f>
        <v>200200</v>
      </c>
      <c r="G64" s="42">
        <f>SUM(G66:G66)</f>
        <v>195775.77</v>
      </c>
      <c r="H64" s="42">
        <f>SUM(G64/F64)*100</f>
        <v>97.7900949050949</v>
      </c>
      <c r="I64" s="42">
        <f>SUM(I66:I66)</f>
        <v>195775.77</v>
      </c>
      <c r="J64" s="42">
        <f>SUM(J66:J66)</f>
        <v>0</v>
      </c>
      <c r="K64" s="42">
        <f>SUM(J64/I64)*100</f>
        <v>0</v>
      </c>
    </row>
    <row r="65" spans="1:11" ht="15">
      <c r="A65" s="63"/>
      <c r="B65" s="87" t="s">
        <v>4</v>
      </c>
      <c r="C65" s="66"/>
      <c r="D65" s="56"/>
      <c r="E65" s="67"/>
      <c r="F65" s="67"/>
      <c r="G65" s="67"/>
      <c r="H65" s="67"/>
      <c r="I65" s="67"/>
      <c r="J65" s="67"/>
      <c r="K65" s="120"/>
    </row>
    <row r="66" spans="1:11" ht="15">
      <c r="A66" s="63"/>
      <c r="B66" s="64" t="s">
        <v>163</v>
      </c>
      <c r="C66" s="40"/>
      <c r="D66" s="41"/>
      <c r="E66" s="42">
        <v>180200</v>
      </c>
      <c r="F66" s="42">
        <v>200200</v>
      </c>
      <c r="G66" s="42">
        <v>195775.77</v>
      </c>
      <c r="H66" s="42">
        <f>SUM(G66/F66)*100</f>
        <v>97.7900949050949</v>
      </c>
      <c r="I66" s="42">
        <v>195775.77</v>
      </c>
      <c r="J66" s="42">
        <v>0</v>
      </c>
      <c r="K66" s="42">
        <f>SUM(J66/I66)*100</f>
        <v>0</v>
      </c>
    </row>
    <row r="67" spans="1:11" ht="45">
      <c r="A67" s="38"/>
      <c r="B67" s="125" t="s">
        <v>390</v>
      </c>
      <c r="C67" s="106"/>
      <c r="D67" s="95"/>
      <c r="E67" s="107"/>
      <c r="F67" s="107">
        <v>0</v>
      </c>
      <c r="G67" s="107">
        <v>0</v>
      </c>
      <c r="H67" s="107">
        <v>0</v>
      </c>
      <c r="I67" s="107">
        <v>0</v>
      </c>
      <c r="J67" s="107">
        <f>15000-8000</f>
        <v>7000</v>
      </c>
      <c r="K67" s="107">
        <v>0</v>
      </c>
    </row>
    <row r="68" spans="1:11" ht="15.75" thickBot="1">
      <c r="A68" s="142"/>
      <c r="B68" s="143"/>
      <c r="C68" s="113"/>
      <c r="D68" s="92"/>
      <c r="E68" s="115"/>
      <c r="F68" s="115"/>
      <c r="G68" s="115"/>
      <c r="H68" s="115"/>
      <c r="I68" s="115"/>
      <c r="J68" s="115"/>
      <c r="K68" s="230"/>
    </row>
    <row r="69" spans="1:11" ht="15.75">
      <c r="A69" s="2"/>
      <c r="B69" s="3"/>
      <c r="C69" s="4"/>
      <c r="D69" s="5"/>
      <c r="E69" s="4"/>
      <c r="F69" s="4"/>
      <c r="G69" s="4"/>
      <c r="H69" s="4"/>
      <c r="I69" s="4"/>
      <c r="J69" s="4"/>
      <c r="K69" s="243"/>
    </row>
    <row r="70" spans="1:11" ht="15.75">
      <c r="A70" s="6" t="s">
        <v>31</v>
      </c>
      <c r="B70" s="7" t="s">
        <v>0</v>
      </c>
      <c r="C70" s="8" t="s">
        <v>167</v>
      </c>
      <c r="D70" s="8" t="s">
        <v>30</v>
      </c>
      <c r="E70" s="8" t="s">
        <v>234</v>
      </c>
      <c r="F70" s="8" t="s">
        <v>234</v>
      </c>
      <c r="G70" s="8" t="s">
        <v>251</v>
      </c>
      <c r="H70" s="8" t="s">
        <v>30</v>
      </c>
      <c r="I70" s="8" t="s">
        <v>297</v>
      </c>
      <c r="J70" s="8" t="s">
        <v>300</v>
      </c>
      <c r="K70" s="244" t="s">
        <v>30</v>
      </c>
    </row>
    <row r="71" spans="1:11" ht="15.75">
      <c r="A71" s="6" t="s">
        <v>33</v>
      </c>
      <c r="B71" s="9"/>
      <c r="C71" s="8" t="s">
        <v>166</v>
      </c>
      <c r="D71" s="10" t="s">
        <v>12</v>
      </c>
      <c r="E71" s="8" t="s">
        <v>250</v>
      </c>
      <c r="F71" s="8" t="s">
        <v>296</v>
      </c>
      <c r="G71" s="8" t="s">
        <v>296</v>
      </c>
      <c r="H71" s="8" t="s">
        <v>12</v>
      </c>
      <c r="I71" s="8" t="s">
        <v>298</v>
      </c>
      <c r="J71" s="8" t="s">
        <v>301</v>
      </c>
      <c r="K71" s="244" t="s">
        <v>12</v>
      </c>
    </row>
    <row r="72" spans="1:11" ht="16.5" thickBot="1">
      <c r="A72" s="11"/>
      <c r="B72" s="12"/>
      <c r="C72" s="13"/>
      <c r="D72" s="13"/>
      <c r="E72" s="13" t="s">
        <v>233</v>
      </c>
      <c r="F72" s="13" t="s">
        <v>233</v>
      </c>
      <c r="G72" s="13" t="s">
        <v>233</v>
      </c>
      <c r="H72" s="13"/>
      <c r="I72" s="13" t="s">
        <v>299</v>
      </c>
      <c r="J72" s="13" t="s">
        <v>233</v>
      </c>
      <c r="K72" s="245"/>
    </row>
    <row r="73" spans="1:11" ht="15.75">
      <c r="A73" s="47"/>
      <c r="B73" s="47"/>
      <c r="C73" s="61"/>
      <c r="D73" s="56"/>
      <c r="E73" s="62"/>
      <c r="F73" s="62"/>
      <c r="G73" s="62"/>
      <c r="H73" s="62"/>
      <c r="I73" s="62"/>
      <c r="J73" s="62"/>
      <c r="K73" s="229"/>
    </row>
    <row r="74" spans="1:11" ht="16.5" thickBot="1">
      <c r="A74" s="51">
        <v>700</v>
      </c>
      <c r="B74" s="52" t="s">
        <v>42</v>
      </c>
      <c r="C74" s="81">
        <f>SUM(C76,C81,C98)</f>
        <v>3806908</v>
      </c>
      <c r="D74" s="24" t="e">
        <f>(C74/#REF!)*100</f>
        <v>#REF!</v>
      </c>
      <c r="E74" s="82">
        <f>SUM(E76,E81,E98)</f>
        <v>4961000</v>
      </c>
      <c r="F74" s="82">
        <f>SUM(F76,F81,F98)</f>
        <v>5752500</v>
      </c>
      <c r="G74" s="82">
        <f>SUM(G76,G81,G98)</f>
        <v>3580600.17</v>
      </c>
      <c r="H74" s="24">
        <f>SUM(G74/F74)*100</f>
        <v>62.24424458930899</v>
      </c>
      <c r="I74" s="82">
        <f>SUM(I76,I81,I98)</f>
        <v>5730356.48</v>
      </c>
      <c r="J74" s="82">
        <f>SUM(J76,J81,J98)</f>
        <v>10905370</v>
      </c>
      <c r="K74" s="24">
        <f>SUM(J74/I74)*100</f>
        <v>190.30875370601723</v>
      </c>
    </row>
    <row r="75" spans="1:11" ht="12.75" customHeight="1" thickTop="1">
      <c r="A75" s="25"/>
      <c r="B75" s="25"/>
      <c r="C75" s="55"/>
      <c r="D75" s="56"/>
      <c r="E75" s="57"/>
      <c r="F75" s="57"/>
      <c r="G75" s="57"/>
      <c r="H75" s="57"/>
      <c r="I75" s="57"/>
      <c r="J75" s="57"/>
      <c r="K75" s="193"/>
    </row>
    <row r="76" spans="1:11" ht="31.5">
      <c r="A76" s="58">
        <v>70004</v>
      </c>
      <c r="B76" s="83" t="s">
        <v>43</v>
      </c>
      <c r="C76" s="32">
        <f>SUM(C77:C79)</f>
        <v>220000</v>
      </c>
      <c r="D76" s="33" t="e">
        <f>(C76/#REF!)*100</f>
        <v>#REF!</v>
      </c>
      <c r="E76" s="34">
        <f>SUM(E77:E79)</f>
        <v>153000</v>
      </c>
      <c r="F76" s="34">
        <f>SUM(F77:F79)</f>
        <v>153000</v>
      </c>
      <c r="G76" s="34">
        <f>SUM(G77:G79)</f>
        <v>27275.22</v>
      </c>
      <c r="H76" s="34">
        <f>SUM(G76/F76)*100</f>
        <v>17.82694117647059</v>
      </c>
      <c r="I76" s="34">
        <f>SUM(I77:I79)</f>
        <v>150543.9</v>
      </c>
      <c r="J76" s="34">
        <f>SUM(J77:J79)</f>
        <v>41000</v>
      </c>
      <c r="K76" s="34">
        <f>SUM(J76/I76)*100</f>
        <v>27.234580743557196</v>
      </c>
    </row>
    <row r="77" spans="1:11" ht="12.75" customHeight="1">
      <c r="A77" s="17"/>
      <c r="B77" s="93"/>
      <c r="C77" s="61"/>
      <c r="D77" s="94"/>
      <c r="E77" s="62"/>
      <c r="F77" s="62"/>
      <c r="G77" s="62"/>
      <c r="H77" s="62"/>
      <c r="I77" s="62"/>
      <c r="J77" s="62"/>
      <c r="K77" s="229"/>
    </row>
    <row r="78" spans="1:11" ht="30">
      <c r="A78" s="63"/>
      <c r="B78" s="64" t="s">
        <v>44</v>
      </c>
      <c r="C78" s="40">
        <v>200000</v>
      </c>
      <c r="D78" s="41" t="e">
        <f>(C78/#REF!)*100</f>
        <v>#REF!</v>
      </c>
      <c r="E78" s="42">
        <v>150000</v>
      </c>
      <c r="F78" s="42">
        <v>150000</v>
      </c>
      <c r="G78" s="42">
        <v>26731.32</v>
      </c>
      <c r="H78" s="42">
        <f>SUM(G78/F78)*100</f>
        <v>17.82088</v>
      </c>
      <c r="I78" s="42">
        <v>150000</v>
      </c>
      <c r="J78" s="42">
        <f>100000-50000-10000</f>
        <v>40000</v>
      </c>
      <c r="K78" s="42">
        <f>SUM(J78/I78)*100</f>
        <v>26.666666666666668</v>
      </c>
    </row>
    <row r="79" spans="1:11" ht="30">
      <c r="A79" s="63"/>
      <c r="B79" s="64" t="s">
        <v>45</v>
      </c>
      <c r="C79" s="40">
        <v>20000</v>
      </c>
      <c r="D79" s="95" t="e">
        <f>(C79/#REF!)*100</f>
        <v>#REF!</v>
      </c>
      <c r="E79" s="42">
        <v>3000</v>
      </c>
      <c r="F79" s="42">
        <v>3000</v>
      </c>
      <c r="G79" s="42">
        <v>543.9</v>
      </c>
      <c r="H79" s="42">
        <f>SUM(G79/F79)*100</f>
        <v>18.13</v>
      </c>
      <c r="I79" s="42">
        <v>543.9</v>
      </c>
      <c r="J79" s="42">
        <v>1000</v>
      </c>
      <c r="K79" s="42">
        <f>SUM(J79/I79)*100</f>
        <v>183.85732671446956</v>
      </c>
    </row>
    <row r="80" spans="1:11" ht="15.75">
      <c r="A80" s="17"/>
      <c r="B80" s="17"/>
      <c r="C80" s="55"/>
      <c r="D80" s="56"/>
      <c r="E80" s="57"/>
      <c r="F80" s="57"/>
      <c r="G80" s="57"/>
      <c r="H80" s="57"/>
      <c r="I80" s="57"/>
      <c r="J80" s="57"/>
      <c r="K80" s="193"/>
    </row>
    <row r="81" spans="1:11" ht="31.5">
      <c r="A81" s="58">
        <v>70005</v>
      </c>
      <c r="B81" s="96" t="s">
        <v>46</v>
      </c>
      <c r="C81" s="32">
        <f>SUM(C83:C90)</f>
        <v>3306908</v>
      </c>
      <c r="D81" s="33" t="e">
        <f>(C81/#REF!)*100</f>
        <v>#REF!</v>
      </c>
      <c r="E81" s="34">
        <f>SUM(E83:E85,E86,E90)</f>
        <v>3168000</v>
      </c>
      <c r="F81" s="34">
        <f>SUM(F83:F85,F86,F90)</f>
        <v>3555500</v>
      </c>
      <c r="G81" s="34">
        <f>SUM(G83:G85,G86,G90)</f>
        <v>2533097.21</v>
      </c>
      <c r="H81" s="34">
        <f>SUM(G81/F81)*100</f>
        <v>71.24447222612854</v>
      </c>
      <c r="I81" s="34">
        <f>SUM(I83:I85,I86,I90)</f>
        <v>3535812.58</v>
      </c>
      <c r="J81" s="34">
        <f>SUM(J83:J85,J86,J90)</f>
        <v>8389370</v>
      </c>
      <c r="K81" s="34">
        <f>SUM(J81/I81)*100</f>
        <v>237.2685149505294</v>
      </c>
    </row>
    <row r="82" spans="1:11" ht="12.75" customHeight="1">
      <c r="A82" s="17"/>
      <c r="B82" s="17"/>
      <c r="C82" s="35"/>
      <c r="D82" s="56"/>
      <c r="E82" s="37"/>
      <c r="F82" s="37"/>
      <c r="G82" s="37"/>
      <c r="H82" s="37"/>
      <c r="I82" s="37"/>
      <c r="J82" s="37"/>
      <c r="K82" s="193"/>
    </row>
    <row r="83" spans="1:11" ht="30">
      <c r="A83" s="63"/>
      <c r="B83" s="97" t="s">
        <v>11</v>
      </c>
      <c r="C83" s="40">
        <v>150000</v>
      </c>
      <c r="D83" s="41" t="e">
        <f>(C83/#REF!)*100</f>
        <v>#REF!</v>
      </c>
      <c r="E83" s="42">
        <v>85000</v>
      </c>
      <c r="F83" s="42">
        <v>85000</v>
      </c>
      <c r="G83" s="42">
        <v>69006.2</v>
      </c>
      <c r="H83" s="42">
        <f>SUM(G83/F83)*100</f>
        <v>81.18376470588234</v>
      </c>
      <c r="I83" s="42">
        <v>79006.2</v>
      </c>
      <c r="J83" s="42">
        <f>80000-10000</f>
        <v>70000</v>
      </c>
      <c r="K83" s="42">
        <f>SUM(J83/I83)*100</f>
        <v>88.60064146864424</v>
      </c>
    </row>
    <row r="84" spans="1:11" ht="30">
      <c r="A84" s="63"/>
      <c r="B84" s="105" t="s">
        <v>255</v>
      </c>
      <c r="C84" s="106"/>
      <c r="D84" s="95"/>
      <c r="E84" s="107">
        <v>0</v>
      </c>
      <c r="F84" s="107">
        <v>6317</v>
      </c>
      <c r="G84" s="107">
        <v>6317</v>
      </c>
      <c r="H84" s="42">
        <f>SUM(G84/F84)*100</f>
        <v>100</v>
      </c>
      <c r="I84" s="107">
        <v>6317</v>
      </c>
      <c r="J84" s="107">
        <v>0</v>
      </c>
      <c r="K84" s="42">
        <f>SUM(J84/I84)*100</f>
        <v>0</v>
      </c>
    </row>
    <row r="85" spans="1:11" ht="15">
      <c r="A85" s="63"/>
      <c r="B85" s="105" t="s">
        <v>168</v>
      </c>
      <c r="C85" s="106">
        <v>50000</v>
      </c>
      <c r="D85" s="95">
        <v>0</v>
      </c>
      <c r="E85" s="107">
        <v>20000</v>
      </c>
      <c r="F85" s="107">
        <v>20000</v>
      </c>
      <c r="G85" s="107">
        <v>3380.64</v>
      </c>
      <c r="H85" s="107">
        <f>SUM(G85/F85)*100</f>
        <v>16.9032</v>
      </c>
      <c r="I85" s="107">
        <v>8380.64</v>
      </c>
      <c r="J85" s="107">
        <v>5000</v>
      </c>
      <c r="K85" s="107">
        <f>SUM(J85/I85)*100</f>
        <v>59.661314649000566</v>
      </c>
    </row>
    <row r="86" spans="1:11" ht="15.75">
      <c r="A86" s="63"/>
      <c r="B86" s="102" t="s">
        <v>179</v>
      </c>
      <c r="C86" s="66"/>
      <c r="D86" s="56"/>
      <c r="E86" s="89">
        <f>SUM(E88)</f>
        <v>15000</v>
      </c>
      <c r="F86" s="89">
        <f>SUM(F88)</f>
        <v>8683</v>
      </c>
      <c r="G86" s="89">
        <f>SUM(G88)</f>
        <v>6608.74</v>
      </c>
      <c r="H86" s="37">
        <f>SUM(G86/F86)*100</f>
        <v>76.111251871473</v>
      </c>
      <c r="I86" s="89">
        <f>SUM(I88)</f>
        <v>6608.74</v>
      </c>
      <c r="J86" s="89">
        <f>SUM(J88)</f>
        <v>0</v>
      </c>
      <c r="K86" s="37">
        <f>SUM(J86/I86)*100</f>
        <v>0</v>
      </c>
    </row>
    <row r="87" spans="1:11" ht="15.75">
      <c r="A87" s="63"/>
      <c r="B87" s="102" t="s">
        <v>4</v>
      </c>
      <c r="C87" s="66"/>
      <c r="D87" s="56"/>
      <c r="E87" s="67"/>
      <c r="F87" s="67"/>
      <c r="G87" s="67"/>
      <c r="H87" s="67"/>
      <c r="I87" s="67"/>
      <c r="J87" s="67"/>
      <c r="K87" s="120"/>
    </row>
    <row r="88" spans="1:11" ht="15">
      <c r="A88" s="63"/>
      <c r="B88" s="97" t="s">
        <v>226</v>
      </c>
      <c r="C88" s="40"/>
      <c r="D88" s="41"/>
      <c r="E88" s="42">
        <v>15000</v>
      </c>
      <c r="F88" s="42">
        <v>8683</v>
      </c>
      <c r="G88" s="42">
        <v>6608.74</v>
      </c>
      <c r="H88" s="42">
        <f>SUM(G88/F88)*100</f>
        <v>76.111251871473</v>
      </c>
      <c r="I88" s="42">
        <v>6608.74</v>
      </c>
      <c r="J88" s="42">
        <v>0</v>
      </c>
      <c r="K88" s="42">
        <f>SUM(J88/I88)*100</f>
        <v>0</v>
      </c>
    </row>
    <row r="89" spans="1:11" ht="12.75" customHeight="1">
      <c r="A89" s="63"/>
      <c r="B89" s="98"/>
      <c r="C89" s="66"/>
      <c r="D89" s="56"/>
      <c r="E89" s="67"/>
      <c r="F89" s="67"/>
      <c r="G89" s="67"/>
      <c r="H89" s="67"/>
      <c r="I89" s="67"/>
      <c r="J89" s="67"/>
      <c r="K89" s="120"/>
    </row>
    <row r="90" spans="1:11" ht="14.25" customHeight="1">
      <c r="A90" s="63"/>
      <c r="B90" s="102" t="s">
        <v>227</v>
      </c>
      <c r="C90" s="66">
        <f>SUM(C92:C94)</f>
        <v>3106908</v>
      </c>
      <c r="D90" s="56" t="e">
        <f>(C90/#REF!)*100</f>
        <v>#REF!</v>
      </c>
      <c r="E90" s="89">
        <f>SUM(E92:E94)</f>
        <v>3048000</v>
      </c>
      <c r="F90" s="89">
        <f>SUM(F92:F94)</f>
        <v>3435500</v>
      </c>
      <c r="G90" s="89">
        <f>SUM(G92:G94)</f>
        <v>2447784.63</v>
      </c>
      <c r="H90" s="89">
        <f>SUM(G90/F90)*100</f>
        <v>71.24973453645758</v>
      </c>
      <c r="I90" s="89">
        <f>SUM(I92:I94)</f>
        <v>3435500</v>
      </c>
      <c r="J90" s="89">
        <f>SUM(J92:J94)</f>
        <v>8314370</v>
      </c>
      <c r="K90" s="89">
        <f>SUM(J90/I90)*100</f>
        <v>242.0133896084995</v>
      </c>
    </row>
    <row r="91" spans="1:11" ht="15">
      <c r="A91" s="63"/>
      <c r="B91" s="98" t="s">
        <v>4</v>
      </c>
      <c r="C91" s="66"/>
      <c r="D91" s="56"/>
      <c r="E91" s="67"/>
      <c r="F91" s="67"/>
      <c r="G91" s="67"/>
      <c r="H91" s="67"/>
      <c r="I91" s="67"/>
      <c r="J91" s="67"/>
      <c r="K91" s="67"/>
    </row>
    <row r="92" spans="1:11" ht="15">
      <c r="A92" s="65"/>
      <c r="B92" s="98" t="s">
        <v>106</v>
      </c>
      <c r="C92" s="66">
        <v>1743908</v>
      </c>
      <c r="D92" s="56" t="e">
        <f>(C92/#REF!)*100</f>
        <v>#REF!</v>
      </c>
      <c r="E92" s="67">
        <f>1600000+148000</f>
        <v>1748000</v>
      </c>
      <c r="F92" s="67">
        <v>1733000</v>
      </c>
      <c r="G92" s="67">
        <v>1307643.6</v>
      </c>
      <c r="H92" s="67">
        <f>SUM(G92/F92)*100</f>
        <v>75.45548759376803</v>
      </c>
      <c r="I92" s="67">
        <v>1733000</v>
      </c>
      <c r="J92" s="67">
        <f>1953600-50000</f>
        <v>1903600</v>
      </c>
      <c r="K92" s="67">
        <f>SUM(J92/I92)*100</f>
        <v>109.84420080784767</v>
      </c>
    </row>
    <row r="93" spans="1:11" ht="15">
      <c r="A93" s="63"/>
      <c r="B93" s="98" t="s">
        <v>21</v>
      </c>
      <c r="C93" s="66">
        <v>1339000</v>
      </c>
      <c r="D93" s="56" t="e">
        <f>(C93/#REF!)*100</f>
        <v>#REF!</v>
      </c>
      <c r="E93" s="67">
        <f>1428000-148000</f>
        <v>1280000</v>
      </c>
      <c r="F93" s="67">
        <v>1622500</v>
      </c>
      <c r="G93" s="67">
        <v>1126721.03</v>
      </c>
      <c r="H93" s="67">
        <f>SUM(G93/F93)*100</f>
        <v>69.44351494607088</v>
      </c>
      <c r="I93" s="67">
        <v>1622500</v>
      </c>
      <c r="J93" s="67">
        <f>6470770-70000</f>
        <v>6400770</v>
      </c>
      <c r="K93" s="67">
        <f>SUM(J93/I93)*100</f>
        <v>394.50046224961477</v>
      </c>
    </row>
    <row r="94" spans="1:11" ht="15.75">
      <c r="A94" s="63"/>
      <c r="B94" s="88" t="s">
        <v>179</v>
      </c>
      <c r="C94" s="66">
        <v>24000</v>
      </c>
      <c r="D94" s="56" t="e">
        <f>(C94/#REF!)*100</f>
        <v>#REF!</v>
      </c>
      <c r="E94" s="89">
        <f>SUM(E96)</f>
        <v>20000</v>
      </c>
      <c r="F94" s="89">
        <f>SUM(F96)</f>
        <v>80000</v>
      </c>
      <c r="G94" s="89">
        <f>SUM(G96)</f>
        <v>13420</v>
      </c>
      <c r="H94" s="37">
        <f>SUM(G94/F94)*100</f>
        <v>16.775000000000002</v>
      </c>
      <c r="I94" s="89">
        <f>SUM(I96)</f>
        <v>80000</v>
      </c>
      <c r="J94" s="89">
        <f>SUM(J96)</f>
        <v>10000</v>
      </c>
      <c r="K94" s="67">
        <f>SUM(J94/I94)*100</f>
        <v>12.5</v>
      </c>
    </row>
    <row r="95" spans="1:11" ht="15.75">
      <c r="A95" s="63"/>
      <c r="B95" s="88" t="s">
        <v>4</v>
      </c>
      <c r="C95" s="66"/>
      <c r="D95" s="56"/>
      <c r="E95" s="67"/>
      <c r="F95" s="67"/>
      <c r="G95" s="67"/>
      <c r="H95" s="67"/>
      <c r="I95" s="67"/>
      <c r="J95" s="67"/>
      <c r="K95" s="120"/>
    </row>
    <row r="96" spans="1:11" ht="15">
      <c r="A96" s="63"/>
      <c r="B96" s="65" t="s">
        <v>228</v>
      </c>
      <c r="C96" s="66"/>
      <c r="D96" s="56"/>
      <c r="E96" s="67">
        <v>20000</v>
      </c>
      <c r="F96" s="67">
        <v>80000</v>
      </c>
      <c r="G96" s="67">
        <v>13420</v>
      </c>
      <c r="H96" s="42">
        <f>SUM(G96/F96)*100</f>
        <v>16.775000000000002</v>
      </c>
      <c r="I96" s="67">
        <v>80000</v>
      </c>
      <c r="J96" s="67">
        <v>10000</v>
      </c>
      <c r="K96" s="42">
        <f>SUM(J96/I96)*100</f>
        <v>12.5</v>
      </c>
    </row>
    <row r="97" spans="1:11" ht="12.75" customHeight="1">
      <c r="A97" s="17"/>
      <c r="B97" s="103"/>
      <c r="C97" s="48"/>
      <c r="D97" s="56"/>
      <c r="E97" s="50"/>
      <c r="F97" s="50"/>
      <c r="G97" s="50"/>
      <c r="H97" s="50"/>
      <c r="I97" s="50"/>
      <c r="J97" s="50"/>
      <c r="K97" s="229"/>
    </row>
    <row r="98" spans="1:11" ht="15.75">
      <c r="A98" s="58">
        <v>70095</v>
      </c>
      <c r="B98" s="59" t="s">
        <v>35</v>
      </c>
      <c r="C98" s="32">
        <f>SUM(C105:C107)</f>
        <v>280000</v>
      </c>
      <c r="D98" s="33" t="e">
        <f>(C98/#REF!)*100</f>
        <v>#REF!</v>
      </c>
      <c r="E98" s="34">
        <f>SUM(E100,E103)</f>
        <v>1640000</v>
      </c>
      <c r="F98" s="34">
        <f>SUM(F100,F103)</f>
        <v>2044000</v>
      </c>
      <c r="G98" s="34">
        <f>SUM(G100,G103)</f>
        <v>1020227.74</v>
      </c>
      <c r="H98" s="34">
        <f>SUM(G98/F98)*100</f>
        <v>49.91329452054794</v>
      </c>
      <c r="I98" s="34">
        <f>SUM(I100,I103)</f>
        <v>2044000</v>
      </c>
      <c r="J98" s="34">
        <f>SUM(J100,J103)</f>
        <v>2475000</v>
      </c>
      <c r="K98" s="34">
        <f>SUM(J98/I98)*100</f>
        <v>121.08610567514677</v>
      </c>
    </row>
    <row r="99" spans="1:11" ht="12.75" customHeight="1">
      <c r="A99" s="17"/>
      <c r="B99" s="17"/>
      <c r="C99" s="35"/>
      <c r="D99" s="94"/>
      <c r="E99" s="37"/>
      <c r="F99" s="37"/>
      <c r="G99" s="37"/>
      <c r="H99" s="37"/>
      <c r="I99" s="37"/>
      <c r="J99" s="37"/>
      <c r="K99" s="193"/>
    </row>
    <row r="100" spans="1:11" ht="12.75" customHeight="1">
      <c r="A100" s="17"/>
      <c r="B100" s="104" t="s">
        <v>178</v>
      </c>
      <c r="C100" s="66"/>
      <c r="D100" s="56"/>
      <c r="E100" s="89">
        <f>SUM(E102:E102)</f>
        <v>1400000</v>
      </c>
      <c r="F100" s="89">
        <f>SUM(F102:F102)</f>
        <v>1743000</v>
      </c>
      <c r="G100" s="89">
        <f>SUM(G102:G102)</f>
        <v>1010474.88</v>
      </c>
      <c r="H100" s="37">
        <f>SUM(G100/F100)*100</f>
        <v>57.97331497418244</v>
      </c>
      <c r="I100" s="89">
        <f>SUM(I102:I102)</f>
        <v>1743000</v>
      </c>
      <c r="J100" s="89">
        <f>SUM(J102:J102)</f>
        <v>2100000</v>
      </c>
      <c r="K100" s="37">
        <f>SUM(J100/I100)*100</f>
        <v>120.48192771084338</v>
      </c>
    </row>
    <row r="101" spans="1:11" ht="12.75" customHeight="1">
      <c r="A101" s="17"/>
      <c r="B101" s="104" t="s">
        <v>4</v>
      </c>
      <c r="C101" s="66"/>
      <c r="D101" s="56"/>
      <c r="E101" s="67"/>
      <c r="F101" s="67"/>
      <c r="G101" s="67"/>
      <c r="H101" s="67"/>
      <c r="I101" s="67"/>
      <c r="J101" s="67"/>
      <c r="K101" s="120"/>
    </row>
    <row r="102" spans="1:11" ht="15.75">
      <c r="A102" s="17"/>
      <c r="B102" s="97" t="s">
        <v>111</v>
      </c>
      <c r="C102" s="40">
        <v>1500000</v>
      </c>
      <c r="D102" s="41" t="e">
        <f>(C102/#REF!)*100</f>
        <v>#REF!</v>
      </c>
      <c r="E102" s="42">
        <v>1400000</v>
      </c>
      <c r="F102" s="42">
        <v>1743000</v>
      </c>
      <c r="G102" s="42">
        <v>1010474.88</v>
      </c>
      <c r="H102" s="42">
        <f>SUM(G102/F102)*100</f>
        <v>57.97331497418244</v>
      </c>
      <c r="I102" s="42">
        <v>1743000</v>
      </c>
      <c r="J102" s="42">
        <f>3985000-600000-1000000-85000-200000</f>
        <v>2100000</v>
      </c>
      <c r="K102" s="42">
        <f>SUM(J102/I102)*100</f>
        <v>120.48192771084338</v>
      </c>
    </row>
    <row r="103" spans="1:11" ht="15.75">
      <c r="A103" s="17"/>
      <c r="B103" s="102" t="s">
        <v>179</v>
      </c>
      <c r="C103" s="66"/>
      <c r="D103" s="56"/>
      <c r="E103" s="89">
        <f>SUM(E105:E107)</f>
        <v>240000</v>
      </c>
      <c r="F103" s="89">
        <f>SUM(F105:F109)</f>
        <v>301000</v>
      </c>
      <c r="G103" s="89">
        <f>SUM(G105:G109)</f>
        <v>9752.86</v>
      </c>
      <c r="H103" s="37">
        <f>SUM(G103/F103)*100</f>
        <v>3.2401528239202655</v>
      </c>
      <c r="I103" s="89">
        <f>SUM(I105:I109)</f>
        <v>301000</v>
      </c>
      <c r="J103" s="89">
        <f>SUM(J105:J109)</f>
        <v>375000</v>
      </c>
      <c r="K103" s="37">
        <f>SUM(J103/I103)*100</f>
        <v>124.58471760797343</v>
      </c>
    </row>
    <row r="104" spans="1:11" ht="15.75">
      <c r="A104" s="17"/>
      <c r="B104" s="102" t="s">
        <v>4</v>
      </c>
      <c r="C104" s="66"/>
      <c r="D104" s="56"/>
      <c r="E104" s="67"/>
      <c r="F104" s="67"/>
      <c r="G104" s="67"/>
      <c r="H104" s="67"/>
      <c r="I104" s="67"/>
      <c r="J104" s="67"/>
      <c r="K104" s="120"/>
    </row>
    <row r="105" spans="1:11" ht="30.75">
      <c r="A105" s="17"/>
      <c r="B105" s="64" t="s">
        <v>180</v>
      </c>
      <c r="C105" s="40">
        <v>200000</v>
      </c>
      <c r="D105" s="41" t="e">
        <f>(C105/#REF!)*100</f>
        <v>#REF!</v>
      </c>
      <c r="E105" s="42">
        <v>200000</v>
      </c>
      <c r="F105" s="42">
        <v>200000</v>
      </c>
      <c r="G105" s="42">
        <v>9752.86</v>
      </c>
      <c r="H105" s="42">
        <f>SUM(G105/F105)*100</f>
        <v>4.87643</v>
      </c>
      <c r="I105" s="42">
        <v>200000</v>
      </c>
      <c r="J105" s="42">
        <v>0</v>
      </c>
      <c r="K105" s="42">
        <f>SUM(J105/I105)*100</f>
        <v>0</v>
      </c>
    </row>
    <row r="106" spans="1:11" ht="30.75">
      <c r="A106" s="17"/>
      <c r="B106" s="64" t="s">
        <v>235</v>
      </c>
      <c r="C106" s="109">
        <v>40000</v>
      </c>
      <c r="D106" s="110">
        <v>0</v>
      </c>
      <c r="E106" s="42">
        <v>40000</v>
      </c>
      <c r="F106" s="42">
        <v>40000</v>
      </c>
      <c r="G106" s="42">
        <v>0</v>
      </c>
      <c r="H106" s="42">
        <f>SUM(G106/F106)*100</f>
        <v>0</v>
      </c>
      <c r="I106" s="42">
        <v>40000</v>
      </c>
      <c r="J106" s="42">
        <v>0</v>
      </c>
      <c r="K106" s="42">
        <f>SUM(J106/I106)*100</f>
        <v>0</v>
      </c>
    </row>
    <row r="107" spans="1:11" s="111" customFormat="1" ht="45.75">
      <c r="A107" s="93"/>
      <c r="B107" s="64" t="s">
        <v>256</v>
      </c>
      <c r="C107" s="109">
        <v>40000</v>
      </c>
      <c r="D107" s="110">
        <v>0</v>
      </c>
      <c r="E107" s="42">
        <v>0</v>
      </c>
      <c r="F107" s="42">
        <v>61000</v>
      </c>
      <c r="G107" s="42">
        <v>0</v>
      </c>
      <c r="H107" s="42">
        <f>SUM(G107/F107)*100</f>
        <v>0</v>
      </c>
      <c r="I107" s="42">
        <v>61000</v>
      </c>
      <c r="J107" s="42">
        <v>0</v>
      </c>
      <c r="K107" s="42">
        <f>SUM(J107/I107)*100</f>
        <v>0</v>
      </c>
    </row>
    <row r="108" spans="1:11" s="111" customFormat="1" ht="75.75" customHeight="1">
      <c r="A108" s="93"/>
      <c r="B108" s="64" t="s">
        <v>310</v>
      </c>
      <c r="C108" s="109"/>
      <c r="D108" s="246"/>
      <c r="E108" s="42"/>
      <c r="F108" s="42">
        <v>0</v>
      </c>
      <c r="G108" s="42">
        <v>0</v>
      </c>
      <c r="H108" s="42">
        <v>0</v>
      </c>
      <c r="I108" s="42">
        <v>0</v>
      </c>
      <c r="J108" s="42">
        <f>600000-300000</f>
        <v>300000</v>
      </c>
      <c r="K108" s="42">
        <v>0</v>
      </c>
    </row>
    <row r="109" spans="1:11" s="111" customFormat="1" ht="30.75">
      <c r="A109" s="108"/>
      <c r="B109" s="64" t="s">
        <v>311</v>
      </c>
      <c r="C109" s="109"/>
      <c r="D109" s="246"/>
      <c r="E109" s="42"/>
      <c r="F109" s="42">
        <v>0</v>
      </c>
      <c r="G109" s="42">
        <v>0</v>
      </c>
      <c r="H109" s="42">
        <v>0</v>
      </c>
      <c r="I109" s="42">
        <v>0</v>
      </c>
      <c r="J109" s="42">
        <v>75000</v>
      </c>
      <c r="K109" s="42">
        <v>0</v>
      </c>
    </row>
    <row r="110" spans="1:11" ht="15.75">
      <c r="A110" s="80"/>
      <c r="B110" s="112"/>
      <c r="C110" s="113"/>
      <c r="D110" s="114"/>
      <c r="E110" s="115"/>
      <c r="F110" s="115"/>
      <c r="G110" s="115"/>
      <c r="H110" s="115"/>
      <c r="I110" s="115"/>
      <c r="J110" s="115"/>
      <c r="K110" s="230"/>
    </row>
    <row r="111" spans="1:11" ht="12.75" customHeight="1">
      <c r="A111" s="47"/>
      <c r="B111" s="47"/>
      <c r="C111" s="48"/>
      <c r="D111" s="56"/>
      <c r="E111" s="50"/>
      <c r="F111" s="50"/>
      <c r="G111" s="50"/>
      <c r="H111" s="50"/>
      <c r="I111" s="50"/>
      <c r="J111" s="50"/>
      <c r="K111" s="229"/>
    </row>
    <row r="112" spans="1:11" ht="16.5" thickBot="1">
      <c r="A112" s="51">
        <v>710</v>
      </c>
      <c r="B112" s="52" t="s">
        <v>47</v>
      </c>
      <c r="C112" s="53" t="e">
        <f>SUM(C114,C125,C133)</f>
        <v>#REF!</v>
      </c>
      <c r="D112" s="24" t="e">
        <f>(C112/#REF!)*100</f>
        <v>#REF!</v>
      </c>
      <c r="E112" s="54">
        <f>SUM(E114,E125,E133)</f>
        <v>768220</v>
      </c>
      <c r="F112" s="54">
        <f>SUM(F114,F125,F133)</f>
        <v>791290</v>
      </c>
      <c r="G112" s="54">
        <f>SUM(G114,G125,G133)</f>
        <v>360304.39</v>
      </c>
      <c r="H112" s="24">
        <f>SUM(G112/F112)*100</f>
        <v>45.533797975457794</v>
      </c>
      <c r="I112" s="54">
        <f>SUM(I114,I125,I133)</f>
        <v>573810</v>
      </c>
      <c r="J112" s="54">
        <f>SUM(J114,J125,J133)</f>
        <v>783260</v>
      </c>
      <c r="K112" s="24">
        <f>SUM(J112/I112)*100</f>
        <v>136.50162945922867</v>
      </c>
    </row>
    <row r="113" spans="1:11" ht="12.75" customHeight="1" thickTop="1">
      <c r="A113" s="17"/>
      <c r="B113" s="17"/>
      <c r="C113" s="55"/>
      <c r="D113" s="56"/>
      <c r="E113" s="57"/>
      <c r="F113" s="57"/>
      <c r="G113" s="57"/>
      <c r="H113" s="57"/>
      <c r="I113" s="57"/>
      <c r="J113" s="57"/>
      <c r="K113" s="193"/>
    </row>
    <row r="114" spans="1:11" ht="31.5">
      <c r="A114" s="58">
        <v>71004</v>
      </c>
      <c r="B114" s="96" t="s">
        <v>48</v>
      </c>
      <c r="C114" s="32">
        <f>SUM(C116:C123)</f>
        <v>241000</v>
      </c>
      <c r="D114" s="60" t="e">
        <f>(C114/#REF!)*100</f>
        <v>#REF!</v>
      </c>
      <c r="E114" s="34">
        <f>SUM(E116:E123)</f>
        <v>214220</v>
      </c>
      <c r="F114" s="34">
        <f>SUM(F116:F123)</f>
        <v>277790</v>
      </c>
      <c r="G114" s="34">
        <f>SUM(G116:G123)</f>
        <v>51390</v>
      </c>
      <c r="H114" s="34">
        <f>SUM(G114/F114)*100</f>
        <v>18.499586018215197</v>
      </c>
      <c r="I114" s="34">
        <f>SUM(I116:I123)</f>
        <v>61310</v>
      </c>
      <c r="J114" s="34">
        <f>SUM(J116:J123)</f>
        <v>289760</v>
      </c>
      <c r="K114" s="34">
        <f>SUM(J114/I114)*100</f>
        <v>472.6145816343174</v>
      </c>
    </row>
    <row r="115" spans="1:11" ht="12.75" customHeight="1">
      <c r="A115" s="17"/>
      <c r="B115" s="103"/>
      <c r="C115" s="61"/>
      <c r="D115" s="56"/>
      <c r="E115" s="62"/>
      <c r="F115" s="62"/>
      <c r="G115" s="62"/>
      <c r="H115" s="62"/>
      <c r="I115" s="62"/>
      <c r="J115" s="62"/>
      <c r="K115" s="229"/>
    </row>
    <row r="116" spans="1:11" ht="195">
      <c r="A116" s="63"/>
      <c r="B116" s="64" t="s">
        <v>404</v>
      </c>
      <c r="C116" s="40">
        <v>163000</v>
      </c>
      <c r="D116" s="41"/>
      <c r="E116" s="42">
        <v>123220</v>
      </c>
      <c r="F116" s="42">
        <v>123220</v>
      </c>
      <c r="G116" s="42">
        <v>25620</v>
      </c>
      <c r="H116" s="42">
        <f>SUM(G116/F116)*100</f>
        <v>20.792079207920793</v>
      </c>
      <c r="I116" s="42">
        <f>58560-25620</f>
        <v>32940</v>
      </c>
      <c r="J116" s="42">
        <f>64660+32940</f>
        <v>97600</v>
      </c>
      <c r="K116" s="42">
        <f>SUM(J116/I116)*100</f>
        <v>296.2962962962963</v>
      </c>
    </row>
    <row r="117" spans="1:11" ht="30">
      <c r="A117" s="63"/>
      <c r="B117" s="64" t="s">
        <v>320</v>
      </c>
      <c r="C117" s="40">
        <v>66000</v>
      </c>
      <c r="D117" s="95">
        <v>0</v>
      </c>
      <c r="E117" s="42">
        <v>66000</v>
      </c>
      <c r="F117" s="42">
        <v>66000</v>
      </c>
      <c r="G117" s="42">
        <v>0</v>
      </c>
      <c r="H117" s="42">
        <f>SUM(G117/F117)*100</f>
        <v>0</v>
      </c>
      <c r="I117" s="42">
        <v>0</v>
      </c>
      <c r="J117" s="42">
        <v>66000</v>
      </c>
      <c r="K117" s="42">
        <v>0</v>
      </c>
    </row>
    <row r="118" spans="1:11" ht="90">
      <c r="A118" s="63"/>
      <c r="B118" s="64" t="s">
        <v>312</v>
      </c>
      <c r="C118" s="40"/>
      <c r="D118" s="95"/>
      <c r="E118" s="42"/>
      <c r="F118" s="42">
        <v>60000</v>
      </c>
      <c r="G118" s="42">
        <v>0</v>
      </c>
      <c r="H118" s="42">
        <f>SUM(G118/F118)*100</f>
        <v>0</v>
      </c>
      <c r="I118" s="42">
        <v>0</v>
      </c>
      <c r="J118" s="42">
        <v>58560</v>
      </c>
      <c r="K118" s="42">
        <v>0</v>
      </c>
    </row>
    <row r="119" spans="1:11" ht="75">
      <c r="A119" s="63"/>
      <c r="B119" s="64" t="s">
        <v>313</v>
      </c>
      <c r="C119" s="40"/>
      <c r="D119" s="95"/>
      <c r="E119" s="42"/>
      <c r="F119" s="42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</row>
    <row r="120" spans="1:11" ht="30">
      <c r="A120" s="63"/>
      <c r="B120" s="64" t="s">
        <v>314</v>
      </c>
      <c r="C120" s="40"/>
      <c r="D120" s="95"/>
      <c r="E120" s="42"/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</row>
    <row r="121" spans="1:11" ht="30">
      <c r="A121" s="63"/>
      <c r="B121" s="64" t="s">
        <v>315</v>
      </c>
      <c r="C121" s="40"/>
      <c r="D121" s="95"/>
      <c r="E121" s="42"/>
      <c r="F121" s="42">
        <v>0</v>
      </c>
      <c r="G121" s="42">
        <v>0</v>
      </c>
      <c r="H121" s="42">
        <v>0</v>
      </c>
      <c r="I121" s="42">
        <v>0</v>
      </c>
      <c r="J121" s="42">
        <f>90000-30000</f>
        <v>60000</v>
      </c>
      <c r="K121" s="42">
        <v>0</v>
      </c>
    </row>
    <row r="122" spans="1:11" ht="15">
      <c r="A122" s="63"/>
      <c r="B122" s="97" t="s">
        <v>145</v>
      </c>
      <c r="C122" s="40">
        <v>6000</v>
      </c>
      <c r="D122" s="95" t="e">
        <f>(C122/#REF!)*100</f>
        <v>#REF!</v>
      </c>
      <c r="E122" s="42">
        <v>20000</v>
      </c>
      <c r="F122" s="42">
        <v>22570</v>
      </c>
      <c r="G122" s="42">
        <v>22570</v>
      </c>
      <c r="H122" s="42">
        <f>SUM(G122/F122)*100</f>
        <v>100</v>
      </c>
      <c r="I122" s="42">
        <v>22570</v>
      </c>
      <c r="J122" s="42">
        <v>4000</v>
      </c>
      <c r="K122" s="42">
        <f>SUM(J122/I122)*100</f>
        <v>17.722640673460347</v>
      </c>
    </row>
    <row r="123" spans="1:11" ht="30">
      <c r="A123" s="63"/>
      <c r="B123" s="97" t="s">
        <v>119</v>
      </c>
      <c r="C123" s="40">
        <v>6000</v>
      </c>
      <c r="D123" s="95" t="e">
        <f>(C123/#REF!)*100</f>
        <v>#REF!</v>
      </c>
      <c r="E123" s="42">
        <v>5000</v>
      </c>
      <c r="F123" s="42">
        <v>6000</v>
      </c>
      <c r="G123" s="42">
        <v>3200</v>
      </c>
      <c r="H123" s="42">
        <f>SUM(G123/F123)*100</f>
        <v>53.333333333333336</v>
      </c>
      <c r="I123" s="42">
        <v>5800</v>
      </c>
      <c r="J123" s="42">
        <v>3600</v>
      </c>
      <c r="K123" s="42">
        <f>SUM(J123/I123)*100</f>
        <v>62.06896551724138</v>
      </c>
    </row>
    <row r="124" spans="1:11" ht="12" customHeight="1">
      <c r="A124" s="47"/>
      <c r="B124" s="103"/>
      <c r="C124" s="48"/>
      <c r="D124" s="56"/>
      <c r="E124" s="50"/>
      <c r="F124" s="50"/>
      <c r="G124" s="50"/>
      <c r="H124" s="50"/>
      <c r="I124" s="50"/>
      <c r="J124" s="50"/>
      <c r="K124" s="229"/>
    </row>
    <row r="125" spans="1:11" ht="15.75">
      <c r="A125" s="58">
        <v>71014</v>
      </c>
      <c r="B125" s="96" t="s">
        <v>49</v>
      </c>
      <c r="C125" s="35">
        <f>SUM(C127)</f>
        <v>2000</v>
      </c>
      <c r="D125" s="60" t="e">
        <f>(C125/#REF!)*100</f>
        <v>#REF!</v>
      </c>
      <c r="E125" s="37">
        <f>SUM(E127)</f>
        <v>1000</v>
      </c>
      <c r="F125" s="37">
        <f>SUM(F127)</f>
        <v>1000</v>
      </c>
      <c r="G125" s="37">
        <f>SUM(G127)</f>
        <v>0</v>
      </c>
      <c r="H125" s="34">
        <f>SUM(G125/F125)*100</f>
        <v>0</v>
      </c>
      <c r="I125" s="37">
        <f>SUM(I127)</f>
        <v>0</v>
      </c>
      <c r="J125" s="37">
        <f>SUM(J127)</f>
        <v>500</v>
      </c>
      <c r="K125" s="34">
        <v>0</v>
      </c>
    </row>
    <row r="126" spans="1:11" ht="12.75" customHeight="1">
      <c r="A126" s="47"/>
      <c r="B126" s="116"/>
      <c r="C126" s="61"/>
      <c r="D126" s="56"/>
      <c r="E126" s="62"/>
      <c r="F126" s="62"/>
      <c r="G126" s="62"/>
      <c r="H126" s="101"/>
      <c r="I126" s="62"/>
      <c r="J126" s="62"/>
      <c r="K126" s="77"/>
    </row>
    <row r="127" spans="1:11" ht="30.75" thickBot="1">
      <c r="A127" s="59"/>
      <c r="B127" s="97" t="s">
        <v>17</v>
      </c>
      <c r="C127" s="40">
        <v>2000</v>
      </c>
      <c r="D127" s="41" t="e">
        <f>(C127/#REF!)*100</f>
        <v>#REF!</v>
      </c>
      <c r="E127" s="42">
        <v>1000</v>
      </c>
      <c r="F127" s="42">
        <v>1000</v>
      </c>
      <c r="G127" s="42">
        <v>0</v>
      </c>
      <c r="H127" s="42">
        <f>SUM(G127/F127)*100</f>
        <v>0</v>
      </c>
      <c r="I127" s="42">
        <v>0</v>
      </c>
      <c r="J127" s="42">
        <v>500</v>
      </c>
      <c r="K127" s="42">
        <v>0</v>
      </c>
    </row>
    <row r="128" spans="1:11" ht="15.75">
      <c r="A128" s="2"/>
      <c r="B128" s="3"/>
      <c r="C128" s="4"/>
      <c r="D128" s="5"/>
      <c r="E128" s="4"/>
      <c r="F128" s="4"/>
      <c r="G128" s="4"/>
      <c r="H128" s="4"/>
      <c r="I128" s="4"/>
      <c r="J128" s="4"/>
      <c r="K128" s="243"/>
    </row>
    <row r="129" spans="1:11" ht="15.75">
      <c r="A129" s="6" t="s">
        <v>31</v>
      </c>
      <c r="B129" s="7" t="s">
        <v>0</v>
      </c>
      <c r="C129" s="8" t="s">
        <v>167</v>
      </c>
      <c r="D129" s="8" t="s">
        <v>30</v>
      </c>
      <c r="E129" s="8" t="s">
        <v>234</v>
      </c>
      <c r="F129" s="8" t="s">
        <v>234</v>
      </c>
      <c r="G129" s="8" t="s">
        <v>251</v>
      </c>
      <c r="H129" s="8" t="s">
        <v>30</v>
      </c>
      <c r="I129" s="8" t="s">
        <v>297</v>
      </c>
      <c r="J129" s="8" t="s">
        <v>300</v>
      </c>
      <c r="K129" s="244" t="s">
        <v>30</v>
      </c>
    </row>
    <row r="130" spans="1:11" ht="15.75">
      <c r="A130" s="6" t="s">
        <v>33</v>
      </c>
      <c r="B130" s="9"/>
      <c r="C130" s="8" t="s">
        <v>166</v>
      </c>
      <c r="D130" s="10" t="s">
        <v>12</v>
      </c>
      <c r="E130" s="8" t="s">
        <v>250</v>
      </c>
      <c r="F130" s="8" t="s">
        <v>296</v>
      </c>
      <c r="G130" s="8" t="s">
        <v>296</v>
      </c>
      <c r="H130" s="8" t="s">
        <v>12</v>
      </c>
      <c r="I130" s="8" t="s">
        <v>298</v>
      </c>
      <c r="J130" s="8" t="s">
        <v>301</v>
      </c>
      <c r="K130" s="244" t="s">
        <v>12</v>
      </c>
    </row>
    <row r="131" spans="1:11" ht="16.5" thickBot="1">
      <c r="A131" s="11"/>
      <c r="B131" s="12"/>
      <c r="C131" s="13"/>
      <c r="D131" s="13"/>
      <c r="E131" s="13" t="s">
        <v>233</v>
      </c>
      <c r="F131" s="13" t="s">
        <v>233</v>
      </c>
      <c r="G131" s="13" t="s">
        <v>233</v>
      </c>
      <c r="H131" s="13"/>
      <c r="I131" s="13" t="s">
        <v>299</v>
      </c>
      <c r="J131" s="13" t="s">
        <v>233</v>
      </c>
      <c r="K131" s="245"/>
    </row>
    <row r="132" spans="1:11" ht="12.75" customHeight="1">
      <c r="A132" s="17"/>
      <c r="B132" s="103"/>
      <c r="C132" s="48"/>
      <c r="D132" s="56"/>
      <c r="E132" s="50"/>
      <c r="F132" s="50"/>
      <c r="G132" s="50"/>
      <c r="H132" s="50"/>
      <c r="I132" s="50"/>
      <c r="J132" s="50"/>
      <c r="K132" s="229"/>
    </row>
    <row r="133" spans="1:11" ht="15.75">
      <c r="A133" s="58">
        <v>71035</v>
      </c>
      <c r="B133" s="117" t="s">
        <v>114</v>
      </c>
      <c r="C133" s="32" t="e">
        <f>SUM(#REF!,#REF!)</f>
        <v>#REF!</v>
      </c>
      <c r="D133" s="60" t="e">
        <f>(C133/#REF!)*100</f>
        <v>#REF!</v>
      </c>
      <c r="E133" s="34">
        <f>SUM(E135,E144)</f>
        <v>553000</v>
      </c>
      <c r="F133" s="34">
        <f>SUM(F135,F144)</f>
        <v>512500</v>
      </c>
      <c r="G133" s="34">
        <f>SUM(G135,G144)</f>
        <v>308914.39</v>
      </c>
      <c r="H133" s="34">
        <f>SUM(G133/F133)*100</f>
        <v>60.27597853658537</v>
      </c>
      <c r="I133" s="34">
        <f>SUM(I135,I144)</f>
        <v>512500</v>
      </c>
      <c r="J133" s="34">
        <f>SUM(J135,J144)</f>
        <v>493000</v>
      </c>
      <c r="K133" s="34">
        <f>SUM(J133/I133)*100</f>
        <v>96.1951219512195</v>
      </c>
    </row>
    <row r="134" spans="1:11" ht="12.75" customHeight="1">
      <c r="A134" s="118"/>
      <c r="B134" s="119"/>
      <c r="C134" s="55"/>
      <c r="D134" s="100"/>
      <c r="E134" s="57"/>
      <c r="F134" s="57"/>
      <c r="G134" s="57"/>
      <c r="H134" s="57"/>
      <c r="I134" s="57"/>
      <c r="J134" s="57"/>
      <c r="K134" s="193"/>
    </row>
    <row r="135" spans="1:11" ht="12.75" customHeight="1">
      <c r="A135" s="118"/>
      <c r="B135" s="88" t="s">
        <v>178</v>
      </c>
      <c r="C135" s="35"/>
      <c r="D135" s="56"/>
      <c r="E135" s="36">
        <f>SUM(E137:E142)</f>
        <v>353000</v>
      </c>
      <c r="F135" s="36">
        <f>SUM(F137:F142)</f>
        <v>433000</v>
      </c>
      <c r="G135" s="36">
        <f>SUM(G137:G142)</f>
        <v>294961.58</v>
      </c>
      <c r="H135" s="37">
        <f>SUM(G135/F135)*100</f>
        <v>68.12045727482679</v>
      </c>
      <c r="I135" s="36">
        <f>SUM(I137:I142)</f>
        <v>433000</v>
      </c>
      <c r="J135" s="36">
        <f>SUM(J137:J142)</f>
        <v>323000</v>
      </c>
      <c r="K135" s="37">
        <f>SUM(J135/I135)*100</f>
        <v>74.5958429561201</v>
      </c>
    </row>
    <row r="136" spans="1:11" ht="12.75" customHeight="1">
      <c r="A136" s="118"/>
      <c r="B136" s="88" t="s">
        <v>4</v>
      </c>
      <c r="C136" s="66"/>
      <c r="D136" s="56"/>
      <c r="E136" s="67"/>
      <c r="F136" s="67"/>
      <c r="G136" s="67"/>
      <c r="H136" s="67"/>
      <c r="I136" s="67"/>
      <c r="J136" s="67"/>
      <c r="K136" s="120"/>
    </row>
    <row r="137" spans="1:11" ht="30.75">
      <c r="A137" s="118"/>
      <c r="B137" s="64" t="s">
        <v>169</v>
      </c>
      <c r="C137" s="40">
        <v>0</v>
      </c>
      <c r="D137" s="95"/>
      <c r="E137" s="42">
        <v>30000</v>
      </c>
      <c r="F137" s="42">
        <v>30000</v>
      </c>
      <c r="G137" s="42">
        <v>0</v>
      </c>
      <c r="H137" s="42">
        <f>SUM(G137/F137)*100</f>
        <v>0</v>
      </c>
      <c r="I137" s="42">
        <v>30000</v>
      </c>
      <c r="J137" s="42">
        <v>0</v>
      </c>
      <c r="K137" s="42">
        <f>SUM(J137/I137)*100</f>
        <v>0</v>
      </c>
    </row>
    <row r="138" spans="1:11" ht="45.75">
      <c r="A138" s="118"/>
      <c r="B138" s="64" t="s">
        <v>259</v>
      </c>
      <c r="C138" s="40"/>
      <c r="D138" s="95"/>
      <c r="E138" s="42">
        <v>0</v>
      </c>
      <c r="F138" s="42">
        <v>5000</v>
      </c>
      <c r="G138" s="42">
        <v>0</v>
      </c>
      <c r="H138" s="42">
        <f>SUM(G138/F138)*100</f>
        <v>0</v>
      </c>
      <c r="I138" s="42">
        <v>5000</v>
      </c>
      <c r="J138" s="42">
        <v>0</v>
      </c>
      <c r="K138" s="42">
        <f>SUM(J138/I138)*100</f>
        <v>0</v>
      </c>
    </row>
    <row r="139" spans="1:11" ht="30.75">
      <c r="A139" s="118"/>
      <c r="B139" s="64" t="s">
        <v>318</v>
      </c>
      <c r="C139" s="40"/>
      <c r="D139" s="95"/>
      <c r="E139" s="42"/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</row>
    <row r="140" spans="1:11" ht="30.75">
      <c r="A140" s="118"/>
      <c r="B140" s="64" t="s">
        <v>319</v>
      </c>
      <c r="C140" s="40"/>
      <c r="D140" s="95"/>
      <c r="E140" s="42"/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</row>
    <row r="141" spans="1:11" ht="15.75">
      <c r="A141" s="118"/>
      <c r="B141" s="64" t="s">
        <v>118</v>
      </c>
      <c r="C141" s="40">
        <v>250000</v>
      </c>
      <c r="D141" s="95" t="e">
        <f>(C141/#REF!)*100</f>
        <v>#REF!</v>
      </c>
      <c r="E141" s="42">
        <v>320000</v>
      </c>
      <c r="F141" s="42">
        <v>395000</v>
      </c>
      <c r="G141" s="42">
        <v>291961.58</v>
      </c>
      <c r="H141" s="42">
        <f>SUM(G141/F141)*100</f>
        <v>73.91432405063291</v>
      </c>
      <c r="I141" s="42">
        <v>395000</v>
      </c>
      <c r="J141" s="42">
        <f>417000-10000-57000-30000</f>
        <v>320000</v>
      </c>
      <c r="K141" s="42">
        <f>SUM(J141/I141)*100</f>
        <v>81.0126582278481</v>
      </c>
    </row>
    <row r="142" spans="1:11" ht="45.75">
      <c r="A142" s="118"/>
      <c r="B142" s="64" t="s">
        <v>115</v>
      </c>
      <c r="C142" s="40">
        <v>4000</v>
      </c>
      <c r="D142" s="95" t="e">
        <f>(C142/#REF!)*100</f>
        <v>#REF!</v>
      </c>
      <c r="E142" s="42">
        <v>3000</v>
      </c>
      <c r="F142" s="42">
        <v>3000</v>
      </c>
      <c r="G142" s="42">
        <v>3000</v>
      </c>
      <c r="H142" s="42">
        <f>SUM(G142/F142)*100</f>
        <v>100</v>
      </c>
      <c r="I142" s="42">
        <v>3000</v>
      </c>
      <c r="J142" s="42">
        <v>3000</v>
      </c>
      <c r="K142" s="42">
        <f>SUM(J142/I142)*100</f>
        <v>100</v>
      </c>
    </row>
    <row r="143" spans="1:11" ht="12.75" customHeight="1">
      <c r="A143" s="118"/>
      <c r="B143" s="102"/>
      <c r="C143" s="55"/>
      <c r="D143" s="100"/>
      <c r="E143" s="57"/>
      <c r="F143" s="57"/>
      <c r="G143" s="57"/>
      <c r="H143" s="57"/>
      <c r="I143" s="57"/>
      <c r="J143" s="57"/>
      <c r="K143" s="193"/>
    </row>
    <row r="144" spans="1:11" ht="15.75">
      <c r="A144" s="118"/>
      <c r="B144" s="102" t="s">
        <v>179</v>
      </c>
      <c r="C144" s="55"/>
      <c r="D144" s="100"/>
      <c r="E144" s="36">
        <f>SUM(E146:E149)</f>
        <v>200000</v>
      </c>
      <c r="F144" s="36">
        <f>SUM(F146:F149)</f>
        <v>79500</v>
      </c>
      <c r="G144" s="36">
        <f>SUM(G146:G149)</f>
        <v>13952.81</v>
      </c>
      <c r="H144" s="37">
        <f>SUM(G144/F144)*100</f>
        <v>17.550704402515724</v>
      </c>
      <c r="I144" s="36">
        <f>SUM(I146:I149)</f>
        <v>79500</v>
      </c>
      <c r="J144" s="36">
        <f>SUM(J146:J149)</f>
        <v>170000</v>
      </c>
      <c r="K144" s="37">
        <f>SUM(J144/I144)*100</f>
        <v>213.83647798742138</v>
      </c>
    </row>
    <row r="145" spans="1:11" ht="15.75">
      <c r="A145" s="118"/>
      <c r="B145" s="102" t="s">
        <v>4</v>
      </c>
      <c r="C145" s="78"/>
      <c r="D145" s="100"/>
      <c r="E145" s="120"/>
      <c r="F145" s="120"/>
      <c r="G145" s="120"/>
      <c r="H145" s="120"/>
      <c r="I145" s="120"/>
      <c r="J145" s="120"/>
      <c r="K145" s="120"/>
    </row>
    <row r="146" spans="1:11" ht="30">
      <c r="A146" s="118"/>
      <c r="B146" s="97" t="s">
        <v>257</v>
      </c>
      <c r="C146" s="79"/>
      <c r="D146" s="95"/>
      <c r="E146" s="42">
        <v>0</v>
      </c>
      <c r="F146" s="42">
        <v>14000</v>
      </c>
      <c r="G146" s="42">
        <v>13952.81</v>
      </c>
      <c r="H146" s="42">
        <f>SUM(G146/F146)*100</f>
        <v>99.66292857142857</v>
      </c>
      <c r="I146" s="42">
        <v>14000</v>
      </c>
      <c r="J146" s="42">
        <v>0</v>
      </c>
      <c r="K146" s="42">
        <f>SUM(J146/I146)*100</f>
        <v>0</v>
      </c>
    </row>
    <row r="147" spans="1:11" ht="30">
      <c r="A147" s="118"/>
      <c r="B147" s="97" t="s">
        <v>317</v>
      </c>
      <c r="C147" s="79"/>
      <c r="D147" s="95"/>
      <c r="E147" s="42"/>
      <c r="F147" s="42">
        <v>0</v>
      </c>
      <c r="G147" s="42">
        <v>0</v>
      </c>
      <c r="H147" s="42">
        <v>0</v>
      </c>
      <c r="I147" s="42">
        <v>0</v>
      </c>
      <c r="J147" s="42">
        <v>70000</v>
      </c>
      <c r="K147" s="42">
        <v>0</v>
      </c>
    </row>
    <row r="148" spans="1:11" ht="30.75">
      <c r="A148" s="118"/>
      <c r="B148" s="64" t="s">
        <v>316</v>
      </c>
      <c r="C148" s="40">
        <v>280000</v>
      </c>
      <c r="D148" s="41">
        <v>0</v>
      </c>
      <c r="E148" s="42">
        <v>200000</v>
      </c>
      <c r="F148" s="42">
        <v>0</v>
      </c>
      <c r="G148" s="42">
        <v>0</v>
      </c>
      <c r="H148" s="42">
        <v>0</v>
      </c>
      <c r="I148" s="42">
        <v>0</v>
      </c>
      <c r="J148" s="42">
        <v>100000</v>
      </c>
      <c r="K148" s="42">
        <v>0</v>
      </c>
    </row>
    <row r="149" spans="1:11" ht="30">
      <c r="A149" s="58"/>
      <c r="B149" s="105" t="s">
        <v>258</v>
      </c>
      <c r="C149" s="216"/>
      <c r="D149" s="95"/>
      <c r="E149" s="107">
        <v>0</v>
      </c>
      <c r="F149" s="107">
        <v>65500</v>
      </c>
      <c r="G149" s="107">
        <v>0</v>
      </c>
      <c r="H149" s="42">
        <f>SUM(G149/F149)*100</f>
        <v>0</v>
      </c>
      <c r="I149" s="107">
        <v>65500</v>
      </c>
      <c r="J149" s="107">
        <v>0</v>
      </c>
      <c r="K149" s="42">
        <f>SUM(J149/I149)*100</f>
        <v>0</v>
      </c>
    </row>
    <row r="150" spans="1:11" ht="12.75" customHeight="1">
      <c r="A150" s="47"/>
      <c r="B150" s="47"/>
      <c r="C150" s="48"/>
      <c r="D150" s="56"/>
      <c r="E150" s="50"/>
      <c r="F150" s="50"/>
      <c r="G150" s="50"/>
      <c r="H150" s="50"/>
      <c r="I150" s="50"/>
      <c r="J150" s="50"/>
      <c r="K150" s="229"/>
    </row>
    <row r="151" spans="1:11" ht="16.5" thickBot="1">
      <c r="A151" s="51">
        <v>750</v>
      </c>
      <c r="B151" s="52" t="s">
        <v>50</v>
      </c>
      <c r="C151" s="53">
        <f>SUM(C153,C157,C164,C190,C202)</f>
        <v>10225770</v>
      </c>
      <c r="D151" s="123" t="e">
        <f>(C151/#REF!)*100</f>
        <v>#REF!</v>
      </c>
      <c r="E151" s="54">
        <f>SUM(E153,E157,E164,E190,E202)</f>
        <v>9871399</v>
      </c>
      <c r="F151" s="54">
        <f>SUM(F153,F157,F164,F186,F190,F202)</f>
        <v>10350506</v>
      </c>
      <c r="G151" s="54">
        <f>SUM(G153,G157,G164,G186,G190,G202)</f>
        <v>6023299.700000002</v>
      </c>
      <c r="H151" s="24">
        <f>SUM(G151/F151)*100</f>
        <v>58.19328736198985</v>
      </c>
      <c r="I151" s="54">
        <f>SUM(I153,I157,I164,I186,I190,I202)</f>
        <v>9490004.173</v>
      </c>
      <c r="J151" s="54">
        <f>SUM(J153,J157,J164,J186,J190,J202)</f>
        <v>9629039</v>
      </c>
      <c r="K151" s="24">
        <f>SUM(J151/I151)*100</f>
        <v>101.46506602595147</v>
      </c>
    </row>
    <row r="152" spans="1:11" ht="12.75" customHeight="1" thickTop="1">
      <c r="A152" s="17"/>
      <c r="B152" s="17"/>
      <c r="C152" s="35"/>
      <c r="D152" s="56"/>
      <c r="E152" s="37"/>
      <c r="F152" s="37"/>
      <c r="G152" s="37"/>
      <c r="H152" s="37"/>
      <c r="I152" s="37"/>
      <c r="J152" s="37"/>
      <c r="K152" s="193"/>
    </row>
    <row r="153" spans="1:11" ht="15.75">
      <c r="A153" s="58">
        <v>75011</v>
      </c>
      <c r="B153" s="59" t="s">
        <v>51</v>
      </c>
      <c r="C153" s="32">
        <f>SUM(C155:C155)</f>
        <v>241125</v>
      </c>
      <c r="D153" s="41" t="e">
        <f>(C153/#REF!)*100</f>
        <v>#REF!</v>
      </c>
      <c r="E153" s="34">
        <f>SUM(E155:E155)</f>
        <v>241800</v>
      </c>
      <c r="F153" s="34">
        <f>SUM(F155:F155)</f>
        <v>241800</v>
      </c>
      <c r="G153" s="34">
        <f>SUM(G155:G155)</f>
        <v>181350</v>
      </c>
      <c r="H153" s="34">
        <f>SUM(G153/F153)*100</f>
        <v>75</v>
      </c>
      <c r="I153" s="34">
        <f>SUM(I155:I155)</f>
        <v>241800</v>
      </c>
      <c r="J153" s="34">
        <f>SUM(J155:J155)</f>
        <v>287790</v>
      </c>
      <c r="K153" s="34">
        <f>SUM(J153/I153)*100</f>
        <v>119.01985111662532</v>
      </c>
    </row>
    <row r="154" spans="1:11" ht="12.75" customHeight="1">
      <c r="A154" s="17"/>
      <c r="B154" s="17"/>
      <c r="C154" s="61"/>
      <c r="D154" s="56"/>
      <c r="E154" s="62"/>
      <c r="F154" s="62"/>
      <c r="G154" s="62"/>
      <c r="H154" s="62"/>
      <c r="I154" s="62"/>
      <c r="J154" s="62"/>
      <c r="K154" s="229"/>
    </row>
    <row r="155" spans="1:11" ht="60.75">
      <c r="A155" s="17"/>
      <c r="B155" s="64" t="s">
        <v>248</v>
      </c>
      <c r="C155" s="40">
        <v>241125</v>
      </c>
      <c r="D155" s="41" t="e">
        <f>(C155/#REF!)*100</f>
        <v>#REF!</v>
      </c>
      <c r="E155" s="42">
        <v>241800</v>
      </c>
      <c r="F155" s="42">
        <v>241800</v>
      </c>
      <c r="G155" s="42">
        <v>181350</v>
      </c>
      <c r="H155" s="42">
        <f>SUM(G155/F155)*100</f>
        <v>75</v>
      </c>
      <c r="I155" s="42">
        <v>241800</v>
      </c>
      <c r="J155" s="42">
        <v>287790</v>
      </c>
      <c r="K155" s="42">
        <f>SUM(J155/I155)*100</f>
        <v>119.01985111662532</v>
      </c>
    </row>
    <row r="156" spans="1:11" ht="12.75" customHeight="1">
      <c r="A156" s="17"/>
      <c r="B156" s="17"/>
      <c r="C156" s="55"/>
      <c r="D156" s="56"/>
      <c r="E156" s="57"/>
      <c r="F156" s="57"/>
      <c r="G156" s="57"/>
      <c r="H156" s="57"/>
      <c r="I156" s="57"/>
      <c r="J156" s="57"/>
      <c r="K156" s="193"/>
    </row>
    <row r="157" spans="1:11" ht="15.75">
      <c r="A157" s="58">
        <v>75022</v>
      </c>
      <c r="B157" s="59" t="s">
        <v>52</v>
      </c>
      <c r="C157" s="32">
        <f>SUM(C159:C162)</f>
        <v>327328</v>
      </c>
      <c r="D157" s="60" t="e">
        <f>(C157/#REF!)*100</f>
        <v>#REF!</v>
      </c>
      <c r="E157" s="34">
        <f>SUM(E159:E162)</f>
        <v>328828</v>
      </c>
      <c r="F157" s="34">
        <f>SUM(F159:F162)</f>
        <v>328828</v>
      </c>
      <c r="G157" s="34">
        <f>SUM(G159:G162)</f>
        <v>225095.49000000002</v>
      </c>
      <c r="H157" s="34">
        <f>SUM(G157/F157)*100</f>
        <v>68.45386950016422</v>
      </c>
      <c r="I157" s="34">
        <f>SUM(I159:I162)</f>
        <v>294339.443</v>
      </c>
      <c r="J157" s="34">
        <f>SUM(J159:J162)</f>
        <v>297328</v>
      </c>
      <c r="K157" s="34">
        <f>SUM(J157/I157)*100</f>
        <v>101.01534370301842</v>
      </c>
    </row>
    <row r="158" spans="1:11" ht="12.75" customHeight="1">
      <c r="A158" s="17"/>
      <c r="B158" s="17"/>
      <c r="C158" s="35"/>
      <c r="D158" s="56"/>
      <c r="E158" s="37"/>
      <c r="F158" s="37"/>
      <c r="G158" s="37"/>
      <c r="H158" s="37"/>
      <c r="I158" s="37"/>
      <c r="J158" s="37"/>
      <c r="K158" s="193"/>
    </row>
    <row r="159" spans="1:11" ht="15.75">
      <c r="A159" s="17"/>
      <c r="B159" s="38" t="s">
        <v>181</v>
      </c>
      <c r="C159" s="40">
        <v>297328</v>
      </c>
      <c r="D159" s="41" t="e">
        <f>(C159/#REF!)*100</f>
        <v>#REF!</v>
      </c>
      <c r="E159" s="42">
        <v>299328</v>
      </c>
      <c r="F159" s="42">
        <v>299328</v>
      </c>
      <c r="G159" s="42">
        <v>220248.57</v>
      </c>
      <c r="H159" s="42">
        <f>SUM(G159/F159)*100</f>
        <v>73.58101146568313</v>
      </c>
      <c r="I159" s="42">
        <v>280839.443</v>
      </c>
      <c r="J159" s="42">
        <f>299328-18000</f>
        <v>281328</v>
      </c>
      <c r="K159" s="42">
        <f>SUM(J159/I159)*100</f>
        <v>100.1739630996206</v>
      </c>
    </row>
    <row r="160" spans="1:11" ht="15.75">
      <c r="A160" s="17"/>
      <c r="B160" s="38" t="s">
        <v>112</v>
      </c>
      <c r="C160" s="40">
        <f>3000-2000</f>
        <v>1000</v>
      </c>
      <c r="D160" s="41" t="e">
        <f>(C160/#REF!)*100</f>
        <v>#REF!</v>
      </c>
      <c r="E160" s="42">
        <v>3000</v>
      </c>
      <c r="F160" s="42">
        <v>3000</v>
      </c>
      <c r="G160" s="42">
        <v>700</v>
      </c>
      <c r="H160" s="42">
        <f>SUM(G160/F160)*100</f>
        <v>23.333333333333332</v>
      </c>
      <c r="I160" s="42">
        <v>700</v>
      </c>
      <c r="J160" s="42">
        <v>1000</v>
      </c>
      <c r="K160" s="42">
        <f>SUM(J160/I160)*100</f>
        <v>142.85714285714286</v>
      </c>
    </row>
    <row r="161" spans="1:11" ht="15.75">
      <c r="A161" s="17"/>
      <c r="B161" s="64" t="s">
        <v>2</v>
      </c>
      <c r="C161" s="40">
        <f>15000+2000</f>
        <v>17000</v>
      </c>
      <c r="D161" s="41" t="e">
        <f>(C161/#REF!)*100</f>
        <v>#REF!</v>
      </c>
      <c r="E161" s="42">
        <v>16500</v>
      </c>
      <c r="F161" s="42">
        <v>16500</v>
      </c>
      <c r="G161" s="42">
        <v>4146.92</v>
      </c>
      <c r="H161" s="42">
        <f>SUM(G161/F161)*100</f>
        <v>25.132848484848484</v>
      </c>
      <c r="I161" s="42">
        <v>7800</v>
      </c>
      <c r="J161" s="42">
        <v>10000</v>
      </c>
      <c r="K161" s="42">
        <f>SUM(J161/I161)*100</f>
        <v>128.2051282051282</v>
      </c>
    </row>
    <row r="162" spans="1:11" ht="15.75">
      <c r="A162" s="59"/>
      <c r="B162" s="125" t="s">
        <v>164</v>
      </c>
      <c r="C162" s="106">
        <f>2000+10000</f>
        <v>12000</v>
      </c>
      <c r="D162" s="95">
        <v>0</v>
      </c>
      <c r="E162" s="107">
        <v>10000</v>
      </c>
      <c r="F162" s="107">
        <v>10000</v>
      </c>
      <c r="G162" s="107">
        <v>0</v>
      </c>
      <c r="H162" s="42">
        <f>SUM(G162/F162)*100</f>
        <v>0</v>
      </c>
      <c r="I162" s="107">
        <v>5000</v>
      </c>
      <c r="J162" s="107">
        <v>5000</v>
      </c>
      <c r="K162" s="42">
        <f>SUM(J162/I162)*100</f>
        <v>100</v>
      </c>
    </row>
    <row r="163" spans="1:11" ht="12.75" customHeight="1">
      <c r="A163" s="47"/>
      <c r="B163" s="47"/>
      <c r="C163" s="48"/>
      <c r="D163" s="100"/>
      <c r="E163" s="50"/>
      <c r="F163" s="50"/>
      <c r="G163" s="50"/>
      <c r="H163" s="50"/>
      <c r="I163" s="50"/>
      <c r="J163" s="50"/>
      <c r="K163" s="229"/>
    </row>
    <row r="164" spans="1:11" ht="15.75">
      <c r="A164" s="58">
        <v>75023</v>
      </c>
      <c r="B164" s="59" t="s">
        <v>53</v>
      </c>
      <c r="C164" s="32">
        <f>SUM(C168:C184)</f>
        <v>8576317</v>
      </c>
      <c r="D164" s="33" t="e">
        <f>(C164/#REF!)*100</f>
        <v>#REF!</v>
      </c>
      <c r="E164" s="218">
        <f>SUM(E166,E180)</f>
        <v>8699619</v>
      </c>
      <c r="F164" s="218">
        <f>SUM(F166,F180)</f>
        <v>9059619</v>
      </c>
      <c r="G164" s="218">
        <f>SUM(G166,G180)</f>
        <v>5367640.220000001</v>
      </c>
      <c r="H164" s="34">
        <f>SUM(G164/F164)*100</f>
        <v>59.24796859558885</v>
      </c>
      <c r="I164" s="218">
        <f>SUM(I166,I180)</f>
        <v>8454484.83</v>
      </c>
      <c r="J164" s="218">
        <f>SUM(J166,J180)</f>
        <v>8601069</v>
      </c>
      <c r="K164" s="34">
        <f>SUM(J164/I164)*100</f>
        <v>101.73380369055556</v>
      </c>
    </row>
    <row r="165" spans="1:11" ht="15.75">
      <c r="A165" s="17"/>
      <c r="B165" s="17"/>
      <c r="C165" s="61"/>
      <c r="D165" s="94"/>
      <c r="E165" s="219"/>
      <c r="F165" s="219"/>
      <c r="G165" s="219"/>
      <c r="H165" s="62"/>
      <c r="I165" s="219"/>
      <c r="J165" s="219"/>
      <c r="K165" s="229"/>
    </row>
    <row r="166" spans="1:11" ht="15.75">
      <c r="A166" s="17"/>
      <c r="B166" s="17" t="s">
        <v>178</v>
      </c>
      <c r="C166" s="35"/>
      <c r="D166" s="94"/>
      <c r="E166" s="220">
        <f>SUM(E168:E179)</f>
        <v>8504619</v>
      </c>
      <c r="F166" s="220">
        <f>SUM(F168:F179)</f>
        <v>8864619</v>
      </c>
      <c r="G166" s="220">
        <f>SUM(G168:G179)</f>
        <v>5353818.220000001</v>
      </c>
      <c r="H166" s="37">
        <f>SUM(G166/F166)*100</f>
        <v>60.39535619071729</v>
      </c>
      <c r="I166" s="220">
        <f>SUM(I168:I179)</f>
        <v>8368504.83</v>
      </c>
      <c r="J166" s="220">
        <f>SUM(J168:J179)</f>
        <v>8216069</v>
      </c>
      <c r="K166" s="37">
        <f>SUM(J166/I166)*100</f>
        <v>98.17845800299311</v>
      </c>
    </row>
    <row r="167" spans="1:11" ht="15.75">
      <c r="A167" s="17"/>
      <c r="B167" s="104" t="s">
        <v>4</v>
      </c>
      <c r="C167" s="66"/>
      <c r="D167" s="56"/>
      <c r="E167" s="67"/>
      <c r="F167" s="67"/>
      <c r="G167" s="67"/>
      <c r="H167" s="67"/>
      <c r="I167" s="67"/>
      <c r="J167" s="67"/>
      <c r="K167" s="120"/>
    </row>
    <row r="168" spans="1:11" s="111" customFormat="1" ht="30.75">
      <c r="A168" s="93"/>
      <c r="B168" s="64" t="s">
        <v>113</v>
      </c>
      <c r="C168" s="40">
        <v>6541317</v>
      </c>
      <c r="D168" s="41" t="e">
        <f>(C168/#REF!)*100</f>
        <v>#REF!</v>
      </c>
      <c r="E168" s="42">
        <f>6660000-10000</f>
        <v>6650000</v>
      </c>
      <c r="F168" s="42">
        <v>6585000</v>
      </c>
      <c r="G168" s="42">
        <v>3987546.37</v>
      </c>
      <c r="H168" s="42">
        <f aca="true" t="shared" si="1" ref="H168:H179">SUM(G168/F168)*100</f>
        <v>60.55499422930903</v>
      </c>
      <c r="I168" s="42">
        <v>6189877</v>
      </c>
      <c r="J168" s="42">
        <f>7000000-300000-100000-4616</f>
        <v>6595384</v>
      </c>
      <c r="K168" s="42">
        <f>SUM(J168/I168)*100</f>
        <v>106.55113179147178</v>
      </c>
    </row>
    <row r="169" spans="1:11" ht="30.75">
      <c r="A169" s="17"/>
      <c r="B169" s="64" t="s">
        <v>236</v>
      </c>
      <c r="C169" s="40">
        <v>1800000</v>
      </c>
      <c r="D169" s="41" t="e">
        <f>(C169/#REF!)*100</f>
        <v>#REF!</v>
      </c>
      <c r="E169" s="42">
        <v>1533119</v>
      </c>
      <c r="F169" s="42">
        <v>1586119</v>
      </c>
      <c r="G169" s="42">
        <v>1078961.67</v>
      </c>
      <c r="H169" s="42">
        <f t="shared" si="1"/>
        <v>68.02526607398309</v>
      </c>
      <c r="I169" s="42">
        <v>1533808</v>
      </c>
      <c r="J169" s="42">
        <f>1917685+17000-200000-200000-30000-20000</f>
        <v>1484685</v>
      </c>
      <c r="K169" s="42">
        <f>SUM(J169/I169)*100</f>
        <v>96.79731752605281</v>
      </c>
    </row>
    <row r="170" spans="1:11" ht="15.75">
      <c r="A170" s="17"/>
      <c r="B170" s="64" t="s">
        <v>220</v>
      </c>
      <c r="C170" s="40"/>
      <c r="D170" s="41"/>
      <c r="E170" s="42">
        <v>12000</v>
      </c>
      <c r="F170" s="42">
        <v>12000</v>
      </c>
      <c r="G170" s="42">
        <v>0</v>
      </c>
      <c r="H170" s="42">
        <f t="shared" si="1"/>
        <v>0</v>
      </c>
      <c r="I170" s="42">
        <v>6000</v>
      </c>
      <c r="J170" s="42">
        <v>6000</v>
      </c>
      <c r="K170" s="42">
        <f>SUM(J170/I170)*100</f>
        <v>100</v>
      </c>
    </row>
    <row r="171" spans="1:11" ht="30.75">
      <c r="A171" s="17"/>
      <c r="B171" s="125" t="s">
        <v>327</v>
      </c>
      <c r="C171" s="106">
        <v>25000</v>
      </c>
      <c r="D171" s="95">
        <v>0</v>
      </c>
      <c r="E171" s="107">
        <v>50000</v>
      </c>
      <c r="F171" s="107">
        <v>131000</v>
      </c>
      <c r="G171" s="107">
        <f>124097.86-64606.91</f>
        <v>59490.95</v>
      </c>
      <c r="H171" s="107">
        <f t="shared" si="1"/>
        <v>45.41293893129771</v>
      </c>
      <c r="I171" s="107">
        <v>131000</v>
      </c>
      <c r="J171" s="107">
        <f>124000-24000-20000</f>
        <v>80000</v>
      </c>
      <c r="K171" s="107">
        <f>SUM(J171/I171)*100</f>
        <v>61.06870229007634</v>
      </c>
    </row>
    <row r="172" spans="1:11" ht="30.75">
      <c r="A172" s="17"/>
      <c r="B172" s="64" t="s">
        <v>162</v>
      </c>
      <c r="C172" s="40">
        <v>50000</v>
      </c>
      <c r="D172" s="127">
        <v>0</v>
      </c>
      <c r="E172" s="42">
        <v>23500</v>
      </c>
      <c r="F172" s="42">
        <v>23500</v>
      </c>
      <c r="G172" s="42">
        <v>23500</v>
      </c>
      <c r="H172" s="42">
        <f t="shared" si="1"/>
        <v>100</v>
      </c>
      <c r="I172" s="42">
        <v>23500</v>
      </c>
      <c r="J172" s="42">
        <v>0</v>
      </c>
      <c r="K172" s="42">
        <f>SUM(J172/I172)*100</f>
        <v>0</v>
      </c>
    </row>
    <row r="173" spans="1:11" ht="45.75">
      <c r="A173" s="17"/>
      <c r="B173" s="64" t="s">
        <v>260</v>
      </c>
      <c r="C173" s="40"/>
      <c r="D173" s="127"/>
      <c r="E173" s="42">
        <v>0</v>
      </c>
      <c r="F173" s="42">
        <v>26000</v>
      </c>
      <c r="G173" s="42">
        <v>25620</v>
      </c>
      <c r="H173" s="42">
        <f t="shared" si="1"/>
        <v>98.53846153846155</v>
      </c>
      <c r="I173" s="42">
        <v>25620</v>
      </c>
      <c r="J173" s="42">
        <v>0</v>
      </c>
      <c r="K173" s="42">
        <f>SUM(J173/I173)*100</f>
        <v>0</v>
      </c>
    </row>
    <row r="174" spans="1:11" ht="30.75">
      <c r="A174" s="17"/>
      <c r="B174" s="64" t="s">
        <v>324</v>
      </c>
      <c r="C174" s="40"/>
      <c r="D174" s="127"/>
      <c r="E174" s="42"/>
      <c r="F174" s="42">
        <v>300000</v>
      </c>
      <c r="G174" s="42">
        <v>0</v>
      </c>
      <c r="H174" s="42">
        <v>0</v>
      </c>
      <c r="I174" s="42">
        <v>280000</v>
      </c>
      <c r="J174" s="42">
        <v>0</v>
      </c>
      <c r="K174" s="42">
        <v>0</v>
      </c>
    </row>
    <row r="175" spans="1:11" ht="30.75">
      <c r="A175" s="17"/>
      <c r="B175" s="125" t="s">
        <v>321</v>
      </c>
      <c r="C175" s="106"/>
      <c r="D175" s="247"/>
      <c r="E175" s="107"/>
      <c r="F175" s="107">
        <v>0</v>
      </c>
      <c r="G175" s="107">
        <v>0</v>
      </c>
      <c r="H175" s="107">
        <v>0</v>
      </c>
      <c r="I175" s="107">
        <v>0</v>
      </c>
      <c r="J175" s="107">
        <f>50000-25000</f>
        <v>25000</v>
      </c>
      <c r="K175" s="107">
        <v>0</v>
      </c>
    </row>
    <row r="176" spans="1:11" ht="30.75">
      <c r="A176" s="17"/>
      <c r="B176" s="65" t="s">
        <v>322</v>
      </c>
      <c r="C176" s="66"/>
      <c r="D176" s="128"/>
      <c r="E176" s="67"/>
      <c r="F176" s="67">
        <v>0</v>
      </c>
      <c r="G176" s="67">
        <v>0</v>
      </c>
      <c r="H176" s="107">
        <v>0</v>
      </c>
      <c r="I176" s="67">
        <v>0</v>
      </c>
      <c r="J176" s="67">
        <f>50000-25000</f>
        <v>25000</v>
      </c>
      <c r="K176" s="107">
        <v>0</v>
      </c>
    </row>
    <row r="177" spans="1:11" ht="15.75">
      <c r="A177" s="17"/>
      <c r="B177" s="125" t="s">
        <v>326</v>
      </c>
      <c r="C177" s="106"/>
      <c r="D177" s="247"/>
      <c r="E177" s="107"/>
      <c r="F177" s="107">
        <v>65000</v>
      </c>
      <c r="G177" s="107">
        <v>64606.91</v>
      </c>
      <c r="H177" s="42">
        <f t="shared" si="1"/>
        <v>99.39524615384616</v>
      </c>
      <c r="I177" s="107">
        <v>64606.91</v>
      </c>
      <c r="J177" s="107">
        <v>0</v>
      </c>
      <c r="K177" s="107">
        <v>0</v>
      </c>
    </row>
    <row r="178" spans="1:11" ht="30.75">
      <c r="A178" s="17"/>
      <c r="B178" s="64" t="s">
        <v>182</v>
      </c>
      <c r="C178" s="40"/>
      <c r="D178" s="127"/>
      <c r="E178" s="42">
        <v>200000</v>
      </c>
      <c r="F178" s="42">
        <v>100000</v>
      </c>
      <c r="G178" s="42">
        <v>78748.4</v>
      </c>
      <c r="H178" s="42">
        <f t="shared" si="1"/>
        <v>78.74839999999999</v>
      </c>
      <c r="I178" s="42">
        <v>78749</v>
      </c>
      <c r="J178" s="42">
        <v>0</v>
      </c>
      <c r="K178" s="42">
        <f>SUM(J178/I178)*100</f>
        <v>0</v>
      </c>
    </row>
    <row r="179" spans="1:11" ht="60.75">
      <c r="A179" s="17"/>
      <c r="B179" s="129" t="s">
        <v>405</v>
      </c>
      <c r="C179" s="40"/>
      <c r="D179" s="127"/>
      <c r="E179" s="42">
        <v>36000</v>
      </c>
      <c r="F179" s="42">
        <v>36000</v>
      </c>
      <c r="G179" s="42">
        <v>35343.92</v>
      </c>
      <c r="H179" s="42">
        <f t="shared" si="1"/>
        <v>98.17755555555556</v>
      </c>
      <c r="I179" s="42">
        <v>35343.92</v>
      </c>
      <c r="J179" s="42">
        <v>0</v>
      </c>
      <c r="K179" s="42">
        <f>SUM(J179/I179)*100</f>
        <v>0</v>
      </c>
    </row>
    <row r="180" spans="1:11" ht="15.75">
      <c r="A180" s="17"/>
      <c r="B180" s="93" t="s">
        <v>179</v>
      </c>
      <c r="C180" s="55"/>
      <c r="D180" s="56"/>
      <c r="E180" s="37">
        <f>SUM(E182:E184)</f>
        <v>195000</v>
      </c>
      <c r="F180" s="37">
        <f>SUM(F182:F184)</f>
        <v>195000</v>
      </c>
      <c r="G180" s="37">
        <f>SUM(G182:G184)</f>
        <v>13822</v>
      </c>
      <c r="H180" s="37">
        <f>SUM(G180/F180)*100</f>
        <v>7.088205128205129</v>
      </c>
      <c r="I180" s="37">
        <f>SUM(I182:I184)</f>
        <v>85980</v>
      </c>
      <c r="J180" s="37">
        <f>SUM(J182:J184)</f>
        <v>385000</v>
      </c>
      <c r="K180" s="37">
        <f>SUM(J180/I180)*100</f>
        <v>447.7785531518958</v>
      </c>
    </row>
    <row r="181" spans="1:11" ht="15.75">
      <c r="A181" s="17"/>
      <c r="B181" s="88" t="s">
        <v>4</v>
      </c>
      <c r="C181" s="130"/>
      <c r="D181" s="56"/>
      <c r="E181" s="131"/>
      <c r="F181" s="131"/>
      <c r="G181" s="131"/>
      <c r="H181" s="131"/>
      <c r="I181" s="131"/>
      <c r="J181" s="131"/>
      <c r="K181" s="120"/>
    </row>
    <row r="182" spans="1:11" ht="15.75">
      <c r="A182" s="17"/>
      <c r="B182" s="129" t="s">
        <v>325</v>
      </c>
      <c r="C182" s="132">
        <v>50000</v>
      </c>
      <c r="D182" s="133" t="e">
        <f>(C182/#REF!)*100</f>
        <v>#REF!</v>
      </c>
      <c r="E182" s="134">
        <v>75000</v>
      </c>
      <c r="F182" s="134">
        <v>75000</v>
      </c>
      <c r="G182" s="134">
        <v>13822</v>
      </c>
      <c r="H182" s="42">
        <f>SUM(G182/F182)*100</f>
        <v>18.429333333333332</v>
      </c>
      <c r="I182" s="134">
        <f>75000+10980</f>
        <v>85980</v>
      </c>
      <c r="J182" s="134">
        <v>245000</v>
      </c>
      <c r="K182" s="42">
        <f>SUM(J182/I182)*100</f>
        <v>284.9499883693882</v>
      </c>
    </row>
    <row r="183" spans="1:11" ht="15.75">
      <c r="A183" s="17"/>
      <c r="B183" s="129" t="s">
        <v>219</v>
      </c>
      <c r="C183" s="132">
        <v>110000</v>
      </c>
      <c r="D183" s="133">
        <v>0</v>
      </c>
      <c r="E183" s="134">
        <v>120000</v>
      </c>
      <c r="F183" s="134">
        <v>120000</v>
      </c>
      <c r="G183" s="134">
        <v>0</v>
      </c>
      <c r="H183" s="42">
        <f>SUM(G183/F183)*100</f>
        <v>0</v>
      </c>
      <c r="I183" s="134">
        <v>0</v>
      </c>
      <c r="J183" s="134">
        <v>120000</v>
      </c>
      <c r="K183" s="42">
        <v>0</v>
      </c>
    </row>
    <row r="184" spans="1:11" ht="30.75">
      <c r="A184" s="17"/>
      <c r="B184" s="248" t="s">
        <v>323</v>
      </c>
      <c r="C184" s="249"/>
      <c r="D184" s="95"/>
      <c r="E184" s="250"/>
      <c r="F184" s="251">
        <v>0</v>
      </c>
      <c r="G184" s="251">
        <v>0</v>
      </c>
      <c r="H184" s="251">
        <v>0</v>
      </c>
      <c r="I184" s="251">
        <v>0</v>
      </c>
      <c r="J184" s="251">
        <f>950000-930000</f>
        <v>20000</v>
      </c>
      <c r="K184" s="251">
        <v>0</v>
      </c>
    </row>
    <row r="185" spans="1:11" ht="15.75">
      <c r="A185" s="17"/>
      <c r="B185" s="135"/>
      <c r="C185" s="130"/>
      <c r="D185" s="56"/>
      <c r="E185" s="131"/>
      <c r="F185" s="49"/>
      <c r="G185" s="49"/>
      <c r="H185" s="49"/>
      <c r="I185" s="49"/>
      <c r="J185" s="49"/>
      <c r="K185" s="49"/>
    </row>
    <row r="186" spans="1:11" ht="15.75">
      <c r="A186" s="59">
        <v>75056</v>
      </c>
      <c r="B186" s="136" t="s">
        <v>328</v>
      </c>
      <c r="C186" s="40"/>
      <c r="D186" s="41"/>
      <c r="E186" s="42"/>
      <c r="F186" s="221">
        <f>SUM(F188)</f>
        <v>9107</v>
      </c>
      <c r="G186" s="221">
        <f>SUM(G188)</f>
        <v>6230.48</v>
      </c>
      <c r="H186" s="221">
        <f>SUM(G186/F186)*100</f>
        <v>68.41418688920609</v>
      </c>
      <c r="I186" s="221">
        <f>SUM(I188)</f>
        <v>9107</v>
      </c>
      <c r="J186" s="221">
        <f>SUM(J188)</f>
        <v>0</v>
      </c>
      <c r="K186" s="34">
        <f>SUM(J186/I186)*100</f>
        <v>0</v>
      </c>
    </row>
    <row r="187" spans="1:11" ht="15.75">
      <c r="A187" s="17"/>
      <c r="B187" s="135"/>
      <c r="C187" s="130"/>
      <c r="D187" s="56"/>
      <c r="E187" s="131"/>
      <c r="F187" s="49"/>
      <c r="G187" s="49"/>
      <c r="H187" s="49"/>
      <c r="I187" s="49"/>
      <c r="J187" s="49"/>
      <c r="K187" s="254"/>
    </row>
    <row r="188" spans="1:11" ht="15.75">
      <c r="A188" s="17"/>
      <c r="B188" s="129" t="s">
        <v>329</v>
      </c>
      <c r="C188" s="252"/>
      <c r="D188" s="41"/>
      <c r="E188" s="253"/>
      <c r="F188" s="134">
        <v>9107</v>
      </c>
      <c r="G188" s="134">
        <v>6230.48</v>
      </c>
      <c r="H188" s="42">
        <f>SUM(G188/F188)*100</f>
        <v>68.41418688920609</v>
      </c>
      <c r="I188" s="134">
        <v>9107</v>
      </c>
      <c r="J188" s="134">
        <v>0</v>
      </c>
      <c r="K188" s="42">
        <f>SUM(J188/I188)*100</f>
        <v>0</v>
      </c>
    </row>
    <row r="189" spans="1:11" ht="15.75">
      <c r="A189" s="17"/>
      <c r="B189" s="135"/>
      <c r="C189" s="130"/>
      <c r="D189" s="56"/>
      <c r="E189" s="131"/>
      <c r="F189" s="49"/>
      <c r="G189" s="49"/>
      <c r="H189" s="49"/>
      <c r="I189" s="49"/>
      <c r="J189" s="49"/>
      <c r="K189" s="49"/>
    </row>
    <row r="190" spans="1:11" ht="31.5">
      <c r="A190" s="58">
        <v>75075</v>
      </c>
      <c r="B190" s="136" t="s">
        <v>120</v>
      </c>
      <c r="C190" s="32">
        <f>SUM(C192,C195)</f>
        <v>1070000</v>
      </c>
      <c r="D190" s="60" t="e">
        <f>(C190/#REF!)*100</f>
        <v>#REF!</v>
      </c>
      <c r="E190" s="34">
        <f>SUM(E192,E195)</f>
        <v>576800</v>
      </c>
      <c r="F190" s="34">
        <f>SUM(F192,F195)</f>
        <v>576800</v>
      </c>
      <c r="G190" s="34">
        <f>SUM(G192,G195)</f>
        <v>235010.61</v>
      </c>
      <c r="H190" s="34">
        <f>SUM(G190/F190)*100</f>
        <v>40.74386442441054</v>
      </c>
      <c r="I190" s="34">
        <f>SUM(I192,I195)</f>
        <v>481500</v>
      </c>
      <c r="J190" s="34">
        <f>SUM(J192,J195)</f>
        <v>370000</v>
      </c>
      <c r="K190" s="34">
        <f>SUM(J190/I190)*100</f>
        <v>76.84319833852544</v>
      </c>
    </row>
    <row r="191" spans="1:11" ht="15.75">
      <c r="A191" s="118"/>
      <c r="B191" s="88"/>
      <c r="C191" s="35"/>
      <c r="D191" s="56"/>
      <c r="E191" s="37"/>
      <c r="F191" s="37"/>
      <c r="G191" s="37"/>
      <c r="H191" s="37"/>
      <c r="I191" s="37"/>
      <c r="J191" s="37"/>
      <c r="K191" s="193"/>
    </row>
    <row r="192" spans="1:11" ht="15.75">
      <c r="A192" s="17"/>
      <c r="B192" s="63" t="s">
        <v>1</v>
      </c>
      <c r="C192" s="66">
        <v>1000000</v>
      </c>
      <c r="D192" s="56" t="e">
        <f>(C192/#REF!)*100</f>
        <v>#REF!</v>
      </c>
      <c r="E192" s="67">
        <v>476800</v>
      </c>
      <c r="F192" s="67">
        <v>476800</v>
      </c>
      <c r="G192" s="67">
        <v>195831.08</v>
      </c>
      <c r="H192" s="67">
        <f>SUM(G192/F192)*100</f>
        <v>41.07195469798658</v>
      </c>
      <c r="I192" s="67">
        <v>415000</v>
      </c>
      <c r="J192" s="67">
        <f>704300-169300-200000</f>
        <v>335000</v>
      </c>
      <c r="K192" s="67">
        <f>SUM(J192/I192)*100</f>
        <v>80.72289156626506</v>
      </c>
    </row>
    <row r="193" spans="1:11" ht="15.75">
      <c r="A193" s="17"/>
      <c r="B193" s="63" t="s">
        <v>133</v>
      </c>
      <c r="C193" s="66"/>
      <c r="D193" s="56"/>
      <c r="E193" s="120"/>
      <c r="F193" s="120"/>
      <c r="G193" s="120"/>
      <c r="H193" s="120"/>
      <c r="I193" s="120"/>
      <c r="J193" s="120"/>
      <c r="K193" s="120"/>
    </row>
    <row r="194" spans="1:11" ht="15.75">
      <c r="A194" s="17"/>
      <c r="B194" s="38" t="s">
        <v>93</v>
      </c>
      <c r="C194" s="40">
        <v>10650</v>
      </c>
      <c r="D194" s="41" t="e">
        <f>(C194/#REF!)*100</f>
        <v>#REF!</v>
      </c>
      <c r="E194" s="42">
        <v>13300</v>
      </c>
      <c r="F194" s="42">
        <v>13300</v>
      </c>
      <c r="G194" s="42">
        <v>3340.13</v>
      </c>
      <c r="H194" s="42">
        <f>SUM(G194/F194)*100</f>
        <v>25.113759398496242</v>
      </c>
      <c r="I194" s="42">
        <v>10150</v>
      </c>
      <c r="J194" s="42">
        <v>13300</v>
      </c>
      <c r="K194" s="42">
        <f>SUM(J194/I194)*100</f>
        <v>131.0344827586207</v>
      </c>
    </row>
    <row r="195" spans="1:11" ht="30.75">
      <c r="A195" s="59"/>
      <c r="B195" s="64" t="s">
        <v>98</v>
      </c>
      <c r="C195" s="40">
        <v>70000</v>
      </c>
      <c r="D195" s="41" t="e">
        <f>(C195/#REF!)*100</f>
        <v>#REF!</v>
      </c>
      <c r="E195" s="42">
        <v>100000</v>
      </c>
      <c r="F195" s="42">
        <v>100000</v>
      </c>
      <c r="G195" s="42">
        <v>39179.53</v>
      </c>
      <c r="H195" s="42">
        <f>SUM(G195/F195)*100</f>
        <v>39.17953</v>
      </c>
      <c r="I195" s="42">
        <v>66500</v>
      </c>
      <c r="J195" s="42">
        <f>65000-30000</f>
        <v>35000</v>
      </c>
      <c r="K195" s="42">
        <f>SUM(J195/I195)*100</f>
        <v>52.63157894736842</v>
      </c>
    </row>
    <row r="196" spans="1:11" ht="16.5" thickBot="1">
      <c r="A196" s="43"/>
      <c r="B196" s="143"/>
      <c r="C196" s="113"/>
      <c r="D196" s="114"/>
      <c r="E196" s="115"/>
      <c r="F196" s="115"/>
      <c r="G196" s="115"/>
      <c r="H196" s="115"/>
      <c r="I196" s="115"/>
      <c r="J196" s="115"/>
      <c r="K196" s="230"/>
    </row>
    <row r="197" spans="1:11" ht="15.75">
      <c r="A197" s="2"/>
      <c r="B197" s="3"/>
      <c r="C197" s="4"/>
      <c r="D197" s="5"/>
      <c r="E197" s="4"/>
      <c r="F197" s="4"/>
      <c r="G197" s="4"/>
      <c r="H197" s="4"/>
      <c r="I197" s="4"/>
      <c r="J197" s="4"/>
      <c r="K197" s="243"/>
    </row>
    <row r="198" spans="1:11" ht="15.75">
      <c r="A198" s="6" t="s">
        <v>31</v>
      </c>
      <c r="B198" s="7" t="s">
        <v>0</v>
      </c>
      <c r="C198" s="8" t="s">
        <v>167</v>
      </c>
      <c r="D198" s="8" t="s">
        <v>30</v>
      </c>
      <c r="E198" s="8" t="s">
        <v>234</v>
      </c>
      <c r="F198" s="8" t="s">
        <v>234</v>
      </c>
      <c r="G198" s="8" t="s">
        <v>251</v>
      </c>
      <c r="H198" s="8" t="s">
        <v>30</v>
      </c>
      <c r="I198" s="8" t="s">
        <v>297</v>
      </c>
      <c r="J198" s="8" t="s">
        <v>300</v>
      </c>
      <c r="K198" s="244" t="s">
        <v>30</v>
      </c>
    </row>
    <row r="199" spans="1:11" ht="15.75">
      <c r="A199" s="6" t="s">
        <v>33</v>
      </c>
      <c r="B199" s="9"/>
      <c r="C199" s="8" t="s">
        <v>166</v>
      </c>
      <c r="D199" s="10" t="s">
        <v>12</v>
      </c>
      <c r="E199" s="8" t="s">
        <v>250</v>
      </c>
      <c r="F199" s="8" t="s">
        <v>296</v>
      </c>
      <c r="G199" s="8" t="s">
        <v>296</v>
      </c>
      <c r="H199" s="8" t="s">
        <v>12</v>
      </c>
      <c r="I199" s="8" t="s">
        <v>298</v>
      </c>
      <c r="J199" s="8" t="s">
        <v>301</v>
      </c>
      <c r="K199" s="244" t="s">
        <v>12</v>
      </c>
    </row>
    <row r="200" spans="1:11" ht="16.5" thickBot="1">
      <c r="A200" s="11"/>
      <c r="B200" s="12"/>
      <c r="C200" s="13"/>
      <c r="D200" s="13"/>
      <c r="E200" s="13" t="s">
        <v>233</v>
      </c>
      <c r="F200" s="13" t="s">
        <v>233</v>
      </c>
      <c r="G200" s="13" t="s">
        <v>233</v>
      </c>
      <c r="H200" s="13"/>
      <c r="I200" s="13" t="s">
        <v>299</v>
      </c>
      <c r="J200" s="13" t="s">
        <v>233</v>
      </c>
      <c r="K200" s="245"/>
    </row>
    <row r="201" spans="1:11" ht="12.75" customHeight="1">
      <c r="A201" s="17"/>
      <c r="B201" s="17"/>
      <c r="C201" s="55"/>
      <c r="D201" s="56"/>
      <c r="E201" s="57"/>
      <c r="F201" s="57"/>
      <c r="G201" s="57"/>
      <c r="H201" s="57"/>
      <c r="I201" s="57"/>
      <c r="J201" s="57"/>
      <c r="K201" s="193"/>
    </row>
    <row r="202" spans="1:11" ht="15.75">
      <c r="A202" s="58">
        <v>75095</v>
      </c>
      <c r="B202" s="59" t="s">
        <v>35</v>
      </c>
      <c r="C202" s="32">
        <f>SUM(C204:C205)</f>
        <v>11000</v>
      </c>
      <c r="D202" s="60" t="e">
        <f>(C202/#REF!)*100</f>
        <v>#REF!</v>
      </c>
      <c r="E202" s="34">
        <f>SUM(E204:E207)</f>
        <v>24352</v>
      </c>
      <c r="F202" s="34">
        <f>SUM(F204:F207)</f>
        <v>134352</v>
      </c>
      <c r="G202" s="34">
        <f>SUM(G204:G207)</f>
        <v>7972.9</v>
      </c>
      <c r="H202" s="34">
        <f>SUM(G202/F202)*100</f>
        <v>5.9343366678575675</v>
      </c>
      <c r="I202" s="34">
        <f>SUM(I204:I207)</f>
        <v>8772.9</v>
      </c>
      <c r="J202" s="34">
        <f>SUM(J204:J207)</f>
        <v>72852</v>
      </c>
      <c r="K202" s="34">
        <f>SUM(J202/I202)*100</f>
        <v>830.420955442328</v>
      </c>
    </row>
    <row r="203" spans="1:11" ht="12.75" customHeight="1">
      <c r="A203" s="17"/>
      <c r="B203" s="47"/>
      <c r="C203" s="61"/>
      <c r="D203" s="56"/>
      <c r="E203" s="62"/>
      <c r="F203" s="62"/>
      <c r="G203" s="62"/>
      <c r="H203" s="62"/>
      <c r="I203" s="62"/>
      <c r="J203" s="62"/>
      <c r="K203" s="229"/>
    </row>
    <row r="204" spans="1:11" ht="30">
      <c r="A204" s="17"/>
      <c r="B204" s="97" t="s">
        <v>19</v>
      </c>
      <c r="C204" s="40">
        <v>1500</v>
      </c>
      <c r="D204" s="41" t="e">
        <f>(C204/#REF!)*100</f>
        <v>#REF!</v>
      </c>
      <c r="E204" s="42">
        <v>1500</v>
      </c>
      <c r="F204" s="42">
        <v>1500</v>
      </c>
      <c r="G204" s="42">
        <v>0</v>
      </c>
      <c r="H204" s="42">
        <f>SUM(G204/F204)*100</f>
        <v>0</v>
      </c>
      <c r="I204" s="42">
        <v>800</v>
      </c>
      <c r="J204" s="42">
        <v>1000</v>
      </c>
      <c r="K204" s="42">
        <f>SUM(J204/I204)*100</f>
        <v>125</v>
      </c>
    </row>
    <row r="205" spans="1:11" ht="30.75">
      <c r="A205" s="17"/>
      <c r="B205" s="64" t="s">
        <v>229</v>
      </c>
      <c r="C205" s="40">
        <v>9500</v>
      </c>
      <c r="D205" s="41" t="e">
        <f>(C205/#REF!)*100</f>
        <v>#REF!</v>
      </c>
      <c r="E205" s="42">
        <v>9500</v>
      </c>
      <c r="F205" s="42">
        <v>9500</v>
      </c>
      <c r="G205" s="42">
        <v>7972.9</v>
      </c>
      <c r="H205" s="42">
        <f>SUM(G205/F205)*100</f>
        <v>83.92526315789473</v>
      </c>
      <c r="I205" s="42">
        <v>7972.9</v>
      </c>
      <c r="J205" s="42">
        <f>9500-1000</f>
        <v>8500</v>
      </c>
      <c r="K205" s="42">
        <f>SUM(J205/I205)*100</f>
        <v>106.6111452545498</v>
      </c>
    </row>
    <row r="206" spans="1:11" ht="30.75">
      <c r="A206" s="17"/>
      <c r="B206" s="64" t="s">
        <v>261</v>
      </c>
      <c r="C206" s="40"/>
      <c r="D206" s="41"/>
      <c r="E206" s="42">
        <v>0</v>
      </c>
      <c r="F206" s="42">
        <v>110000</v>
      </c>
      <c r="G206" s="42">
        <v>0</v>
      </c>
      <c r="H206" s="42">
        <f>SUM(G206/F206)*100</f>
        <v>0</v>
      </c>
      <c r="I206" s="42">
        <v>0</v>
      </c>
      <c r="J206" s="42">
        <f>110000-40000-10000-10000</f>
        <v>50000</v>
      </c>
      <c r="K206" s="42">
        <v>0</v>
      </c>
    </row>
    <row r="207" spans="1:11" ht="135.75">
      <c r="A207" s="59"/>
      <c r="B207" s="125" t="s">
        <v>288</v>
      </c>
      <c r="C207" s="106"/>
      <c r="D207" s="95"/>
      <c r="E207" s="107">
        <v>13352</v>
      </c>
      <c r="F207" s="107">
        <v>13352</v>
      </c>
      <c r="G207" s="107">
        <v>0</v>
      </c>
      <c r="H207" s="42">
        <f>SUM(G207/F207)*100</f>
        <v>0</v>
      </c>
      <c r="I207" s="107">
        <v>0</v>
      </c>
      <c r="J207" s="107">
        <v>13352</v>
      </c>
      <c r="K207" s="42">
        <v>0</v>
      </c>
    </row>
    <row r="208" spans="1:11" ht="12.75" customHeight="1">
      <c r="A208" s="137"/>
      <c r="B208" s="138"/>
      <c r="C208" s="139"/>
      <c r="D208" s="114"/>
      <c r="E208" s="140"/>
      <c r="F208" s="140"/>
      <c r="G208" s="140"/>
      <c r="H208" s="140"/>
      <c r="I208" s="140"/>
      <c r="J208" s="140"/>
      <c r="K208" s="232"/>
    </row>
    <row r="209" spans="1:11" ht="12.75" customHeight="1">
      <c r="A209" s="47"/>
      <c r="B209" s="47"/>
      <c r="C209" s="61"/>
      <c r="D209" s="56"/>
      <c r="E209" s="62"/>
      <c r="F209" s="62"/>
      <c r="G209" s="62"/>
      <c r="H209" s="62"/>
      <c r="I209" s="62"/>
      <c r="J209" s="62"/>
      <c r="K209" s="229"/>
    </row>
    <row r="210" spans="1:11" ht="48" thickBot="1">
      <c r="A210" s="51">
        <v>751</v>
      </c>
      <c r="B210" s="141" t="s">
        <v>241</v>
      </c>
      <c r="C210" s="53" t="e">
        <f>SUM(C212,#REF!)</f>
        <v>#REF!</v>
      </c>
      <c r="D210" s="24" t="e">
        <f>(C210/#REF!)*100</f>
        <v>#REF!</v>
      </c>
      <c r="E210" s="54">
        <f>SUM(E212,E216)</f>
        <v>6385</v>
      </c>
      <c r="F210" s="54">
        <f>SUM(F212,F216)</f>
        <v>84977</v>
      </c>
      <c r="G210" s="54">
        <f>SUM(G212,G216)</f>
        <v>80650</v>
      </c>
      <c r="H210" s="24">
        <f>SUM(G210/F210)*100</f>
        <v>94.90803393859515</v>
      </c>
      <c r="I210" s="54">
        <f>SUM(I212,I216)</f>
        <v>82247</v>
      </c>
      <c r="J210" s="54">
        <f>SUM(J212,J216)</f>
        <v>6313</v>
      </c>
      <c r="K210" s="24">
        <f>SUM(J210/I210)*100</f>
        <v>7.675659902488845</v>
      </c>
    </row>
    <row r="211" spans="1:11" ht="12.75" customHeight="1" thickTop="1">
      <c r="A211" s="17"/>
      <c r="B211" s="17"/>
      <c r="C211" s="35"/>
      <c r="D211" s="56"/>
      <c r="E211" s="37"/>
      <c r="F211" s="37"/>
      <c r="G211" s="37"/>
      <c r="H211" s="37"/>
      <c r="I211" s="37"/>
      <c r="J211" s="37"/>
      <c r="K211" s="193"/>
    </row>
    <row r="212" spans="1:11" ht="31.5">
      <c r="A212" s="58">
        <v>75101</v>
      </c>
      <c r="B212" s="108" t="s">
        <v>402</v>
      </c>
      <c r="C212" s="32">
        <f>SUM(C214)</f>
        <v>6357</v>
      </c>
      <c r="D212" s="60" t="e">
        <f>(C212/#REF!)*100</f>
        <v>#REF!</v>
      </c>
      <c r="E212" s="34">
        <f>SUM(E214)</f>
        <v>6385</v>
      </c>
      <c r="F212" s="34">
        <f>SUM(F214)</f>
        <v>6385</v>
      </c>
      <c r="G212" s="34">
        <f>SUM(G214)</f>
        <v>4788</v>
      </c>
      <c r="H212" s="34">
        <f>SUM(G212/F212)*100</f>
        <v>74.98825371965545</v>
      </c>
      <c r="I212" s="34">
        <f>SUM(I214)</f>
        <v>6385</v>
      </c>
      <c r="J212" s="34">
        <f>SUM(J214)</f>
        <v>6313</v>
      </c>
      <c r="K212" s="34">
        <f>SUM(J212/I212)*100</f>
        <v>98.87235708692248</v>
      </c>
    </row>
    <row r="213" spans="1:11" ht="12.75" customHeight="1">
      <c r="A213" s="17"/>
      <c r="B213" s="17"/>
      <c r="C213" s="61"/>
      <c r="D213" s="56"/>
      <c r="E213" s="62"/>
      <c r="F213" s="62"/>
      <c r="G213" s="62"/>
      <c r="H213" s="62"/>
      <c r="I213" s="62"/>
      <c r="J213" s="62"/>
      <c r="K213" s="229"/>
    </row>
    <row r="214" spans="1:11" ht="45">
      <c r="A214" s="38"/>
      <c r="B214" s="64" t="s">
        <v>131</v>
      </c>
      <c r="C214" s="40">
        <v>6357</v>
      </c>
      <c r="D214" s="41" t="e">
        <f>(C214/#REF!)*100</f>
        <v>#REF!</v>
      </c>
      <c r="E214" s="42">
        <v>6385</v>
      </c>
      <c r="F214" s="42">
        <v>6385</v>
      </c>
      <c r="G214" s="42">
        <v>4788</v>
      </c>
      <c r="H214" s="42">
        <f>SUM(G214/F214)*100</f>
        <v>74.98825371965545</v>
      </c>
      <c r="I214" s="42">
        <v>6385</v>
      </c>
      <c r="J214" s="42">
        <v>6313</v>
      </c>
      <c r="K214" s="42">
        <f>SUM(J214/I214)*100</f>
        <v>98.87235708692248</v>
      </c>
    </row>
    <row r="215" spans="1:11" ht="15">
      <c r="A215" s="124"/>
      <c r="B215" s="126"/>
      <c r="C215" s="99"/>
      <c r="D215" s="100"/>
      <c r="E215" s="101"/>
      <c r="F215" s="101"/>
      <c r="G215" s="101"/>
      <c r="H215" s="101"/>
      <c r="I215" s="101"/>
      <c r="J215" s="101"/>
      <c r="K215" s="77"/>
    </row>
    <row r="216" spans="1:11" ht="31.5">
      <c r="A216" s="58">
        <v>75107</v>
      </c>
      <c r="B216" s="136" t="s">
        <v>262</v>
      </c>
      <c r="C216" s="40"/>
      <c r="D216" s="41"/>
      <c r="E216" s="221">
        <f>SUM(E218)</f>
        <v>0</v>
      </c>
      <c r="F216" s="221">
        <f>SUM(F218)</f>
        <v>78592</v>
      </c>
      <c r="G216" s="221">
        <f>SUM(G218)</f>
        <v>75862</v>
      </c>
      <c r="H216" s="34">
        <f>SUM(G216/F216)*100</f>
        <v>96.52636400651465</v>
      </c>
      <c r="I216" s="221">
        <f>SUM(I218)</f>
        <v>75862</v>
      </c>
      <c r="J216" s="221">
        <f>SUM(J218)</f>
        <v>0</v>
      </c>
      <c r="K216" s="34">
        <v>0</v>
      </c>
    </row>
    <row r="217" spans="1:11" ht="15">
      <c r="A217" s="63"/>
      <c r="B217" s="65"/>
      <c r="C217" s="66"/>
      <c r="D217" s="56"/>
      <c r="E217" s="67"/>
      <c r="F217" s="67"/>
      <c r="G217" s="67"/>
      <c r="H217" s="67"/>
      <c r="I217" s="67"/>
      <c r="J217" s="67"/>
      <c r="K217" s="120"/>
    </row>
    <row r="218" spans="1:11" ht="15">
      <c r="A218" s="63"/>
      <c r="B218" s="65" t="s">
        <v>263</v>
      </c>
      <c r="C218" s="66"/>
      <c r="D218" s="56"/>
      <c r="E218" s="67">
        <v>0</v>
      </c>
      <c r="F218" s="67">
        <v>78592</v>
      </c>
      <c r="G218" s="67">
        <v>75862</v>
      </c>
      <c r="H218" s="67">
        <f>SUM(G218/F218)*100</f>
        <v>96.52636400651465</v>
      </c>
      <c r="I218" s="67">
        <v>75862</v>
      </c>
      <c r="J218" s="67">
        <v>0</v>
      </c>
      <c r="K218" s="67">
        <v>0</v>
      </c>
    </row>
    <row r="219" spans="1:11" ht="15">
      <c r="A219" s="63"/>
      <c r="B219" s="65" t="s">
        <v>400</v>
      </c>
      <c r="C219" s="66"/>
      <c r="D219" s="56"/>
      <c r="E219" s="67">
        <v>0</v>
      </c>
      <c r="F219" s="67">
        <v>44910</v>
      </c>
      <c r="G219" s="67">
        <v>43560</v>
      </c>
      <c r="H219" s="67">
        <f>SUM(G219/F219)*100</f>
        <v>96.9939879759519</v>
      </c>
      <c r="I219" s="67">
        <v>43560</v>
      </c>
      <c r="J219" s="67">
        <v>0</v>
      </c>
      <c r="K219" s="67">
        <v>0</v>
      </c>
    </row>
    <row r="220" spans="1:11" ht="15">
      <c r="A220" s="38"/>
      <c r="B220" s="64" t="s">
        <v>401</v>
      </c>
      <c r="C220" s="40"/>
      <c r="D220" s="41"/>
      <c r="E220" s="42">
        <v>0</v>
      </c>
      <c r="F220" s="42">
        <v>16186.34</v>
      </c>
      <c r="G220" s="42">
        <v>16186.34</v>
      </c>
      <c r="H220" s="42">
        <f>SUM(G220/F220)*100</f>
        <v>100</v>
      </c>
      <c r="I220" s="42">
        <v>16186.34</v>
      </c>
      <c r="J220" s="42">
        <v>0</v>
      </c>
      <c r="K220" s="42">
        <v>0</v>
      </c>
    </row>
    <row r="221" spans="1:11" ht="15">
      <c r="A221" s="142"/>
      <c r="B221" s="143"/>
      <c r="C221" s="113"/>
      <c r="D221" s="114"/>
      <c r="E221" s="115"/>
      <c r="F221" s="115"/>
      <c r="G221" s="115"/>
      <c r="H221" s="115"/>
      <c r="I221" s="115"/>
      <c r="J221" s="115"/>
      <c r="K221" s="230"/>
    </row>
    <row r="222" spans="1:11" ht="15.75">
      <c r="A222" s="47"/>
      <c r="B222" s="84"/>
      <c r="C222" s="61"/>
      <c r="D222" s="100"/>
      <c r="E222" s="62"/>
      <c r="F222" s="62"/>
      <c r="G222" s="62"/>
      <c r="H222" s="62"/>
      <c r="I222" s="62"/>
      <c r="J222" s="62"/>
      <c r="K222" s="229"/>
    </row>
    <row r="223" spans="1:11" ht="16.5" thickBot="1">
      <c r="A223" s="51">
        <v>752</v>
      </c>
      <c r="B223" s="141" t="s">
        <v>158</v>
      </c>
      <c r="C223" s="53">
        <f>SUM(C225)</f>
        <v>1000</v>
      </c>
      <c r="D223" s="24">
        <v>0</v>
      </c>
      <c r="E223" s="54">
        <f>SUM(E225)</f>
        <v>4500</v>
      </c>
      <c r="F223" s="54">
        <f>SUM(F225)</f>
        <v>4500</v>
      </c>
      <c r="G223" s="54">
        <f>SUM(G225)</f>
        <v>0</v>
      </c>
      <c r="H223" s="24">
        <f>SUM(G223/F223)*100</f>
        <v>0</v>
      </c>
      <c r="I223" s="54">
        <f>SUM(I225)</f>
        <v>4500</v>
      </c>
      <c r="J223" s="54">
        <f>SUM(J225)</f>
        <v>3500</v>
      </c>
      <c r="K223" s="24">
        <f>SUM(J223/I223)*100</f>
        <v>77.77777777777779</v>
      </c>
    </row>
    <row r="224" spans="1:11" ht="16.5" thickTop="1">
      <c r="A224" s="17"/>
      <c r="B224" s="17"/>
      <c r="C224" s="35"/>
      <c r="D224" s="56"/>
      <c r="E224" s="37"/>
      <c r="F224" s="37"/>
      <c r="G224" s="37"/>
      <c r="H224" s="37"/>
      <c r="I224" s="37"/>
      <c r="J224" s="37"/>
      <c r="K224" s="193"/>
    </row>
    <row r="225" spans="1:11" ht="15.75">
      <c r="A225" s="58">
        <v>75212</v>
      </c>
      <c r="B225" s="108" t="s">
        <v>159</v>
      </c>
      <c r="C225" s="32">
        <f>SUM(C227)</f>
        <v>1000</v>
      </c>
      <c r="D225" s="60">
        <v>0</v>
      </c>
      <c r="E225" s="34">
        <f>SUM(E227:E228)</f>
        <v>4500</v>
      </c>
      <c r="F225" s="34">
        <f>SUM(F227:F228)</f>
        <v>4500</v>
      </c>
      <c r="G225" s="34">
        <f>SUM(G227:G228)</f>
        <v>0</v>
      </c>
      <c r="H225" s="34">
        <f>SUM(G225/F225)*100</f>
        <v>0</v>
      </c>
      <c r="I225" s="34">
        <f>SUM(I227:I228)</f>
        <v>4500</v>
      </c>
      <c r="J225" s="34">
        <f>SUM(J227:J228)</f>
        <v>3500</v>
      </c>
      <c r="K225" s="34">
        <f>SUM(J225/I225)*100</f>
        <v>77.77777777777779</v>
      </c>
    </row>
    <row r="226" spans="1:11" ht="15.75">
      <c r="A226" s="17"/>
      <c r="B226" s="17"/>
      <c r="C226" s="61"/>
      <c r="D226" s="56"/>
      <c r="E226" s="62"/>
      <c r="F226" s="62"/>
      <c r="G226" s="62"/>
      <c r="H226" s="62"/>
      <c r="I226" s="62"/>
      <c r="J226" s="62"/>
      <c r="K226" s="229"/>
    </row>
    <row r="227" spans="1:11" ht="15">
      <c r="A227" s="63"/>
      <c r="B227" s="64" t="s">
        <v>160</v>
      </c>
      <c r="C227" s="40">
        <v>1000</v>
      </c>
      <c r="D227" s="41">
        <v>0</v>
      </c>
      <c r="E227" s="42">
        <v>2500</v>
      </c>
      <c r="F227" s="42">
        <v>2500</v>
      </c>
      <c r="G227" s="42">
        <v>0</v>
      </c>
      <c r="H227" s="42">
        <f>SUM(G227/F227)*100</f>
        <v>0</v>
      </c>
      <c r="I227" s="42">
        <v>2500</v>
      </c>
      <c r="J227" s="42">
        <v>2500</v>
      </c>
      <c r="K227" s="42">
        <f>SUM(J227/I227)*100</f>
        <v>100</v>
      </c>
    </row>
    <row r="228" spans="1:11" ht="15">
      <c r="A228" s="38"/>
      <c r="B228" s="64" t="s">
        <v>183</v>
      </c>
      <c r="C228" s="40"/>
      <c r="D228" s="41"/>
      <c r="E228" s="42">
        <v>2000</v>
      </c>
      <c r="F228" s="42">
        <v>2000</v>
      </c>
      <c r="G228" s="42">
        <v>0</v>
      </c>
      <c r="H228" s="42">
        <f>SUM(G228/F228)*100</f>
        <v>0</v>
      </c>
      <c r="I228" s="42">
        <v>2000</v>
      </c>
      <c r="J228" s="42">
        <f>2000-1000</f>
        <v>1000</v>
      </c>
      <c r="K228" s="42">
        <f>SUM(J228/I228)*100</f>
        <v>50</v>
      </c>
    </row>
    <row r="229" spans="1:11" ht="15.75">
      <c r="A229" s="80"/>
      <c r="B229" s="144"/>
      <c r="C229" s="145"/>
      <c r="D229" s="92"/>
      <c r="E229" s="146"/>
      <c r="F229" s="146"/>
      <c r="G229" s="146"/>
      <c r="H229" s="146"/>
      <c r="I229" s="146"/>
      <c r="J229" s="146"/>
      <c r="K229" s="233"/>
    </row>
    <row r="230" spans="1:11" ht="12.75" customHeight="1">
      <c r="A230" s="17"/>
      <c r="B230" s="70"/>
      <c r="C230" s="55"/>
      <c r="D230" s="56"/>
      <c r="E230" s="57"/>
      <c r="F230" s="57"/>
      <c r="G230" s="57"/>
      <c r="H230" s="57"/>
      <c r="I230" s="57"/>
      <c r="J230" s="57"/>
      <c r="K230" s="193"/>
    </row>
    <row r="231" spans="1:11" ht="32.25" thickBot="1">
      <c r="A231" s="51">
        <v>754</v>
      </c>
      <c r="B231" s="141" t="s">
        <v>104</v>
      </c>
      <c r="C231" s="53">
        <f>SUM(C233,C237)</f>
        <v>948020</v>
      </c>
      <c r="D231" s="24" t="e">
        <f>(C231/#REF!)*100</f>
        <v>#REF!</v>
      </c>
      <c r="E231" s="54">
        <f>SUM(E233,E237,E245,E249)</f>
        <v>1208520</v>
      </c>
      <c r="F231" s="54">
        <f>SUM(F233,F237,F245,F249)</f>
        <v>1366187</v>
      </c>
      <c r="G231" s="54">
        <f>SUM(G233,G237,G245,G249)</f>
        <v>897597.27</v>
      </c>
      <c r="H231" s="24">
        <f>SUM(G231/F231)*100</f>
        <v>65.70090844079178</v>
      </c>
      <c r="I231" s="54">
        <f>SUM(I233,I237,I245,I249)</f>
        <v>1366163.0400000003</v>
      </c>
      <c r="J231" s="54">
        <f>SUM(J233,J237,J245,J249)</f>
        <v>956900</v>
      </c>
      <c r="K231" s="24">
        <f>SUM(J231/I231)*100</f>
        <v>70.04288448617376</v>
      </c>
    </row>
    <row r="232" spans="1:11" ht="12.75" customHeight="1" thickTop="1">
      <c r="A232" s="17"/>
      <c r="B232" s="17"/>
      <c r="C232" s="147" t="s">
        <v>13</v>
      </c>
      <c r="D232" s="56"/>
      <c r="E232" s="148" t="s">
        <v>13</v>
      </c>
      <c r="F232" s="148" t="s">
        <v>13</v>
      </c>
      <c r="G232" s="148" t="s">
        <v>13</v>
      </c>
      <c r="H232" s="148"/>
      <c r="I232" s="148" t="s">
        <v>13</v>
      </c>
      <c r="J232" s="148" t="s">
        <v>13</v>
      </c>
      <c r="K232" s="234"/>
    </row>
    <row r="233" spans="1:11" ht="15.75">
      <c r="A233" s="58">
        <v>75414</v>
      </c>
      <c r="B233" s="59" t="s">
        <v>54</v>
      </c>
      <c r="C233" s="32">
        <f>SUM(C235:C235)</f>
        <v>1500</v>
      </c>
      <c r="D233" s="60" t="e">
        <f>(C233/#REF!)*100</f>
        <v>#REF!</v>
      </c>
      <c r="E233" s="34">
        <f>SUM(E235:E235)</f>
        <v>1300</v>
      </c>
      <c r="F233" s="34">
        <f>SUM(F235:F235)</f>
        <v>478</v>
      </c>
      <c r="G233" s="34">
        <f>SUM(G235:G235)</f>
        <v>0</v>
      </c>
      <c r="H233" s="34">
        <f>SUM(G233/F233)*100</f>
        <v>0</v>
      </c>
      <c r="I233" s="34">
        <f>SUM(I235:I235)</f>
        <v>478</v>
      </c>
      <c r="J233" s="34">
        <f>SUM(J235:J235)</f>
        <v>7400</v>
      </c>
      <c r="K233" s="34">
        <f>SUM(J233/I233)*100</f>
        <v>1548.1171548117154</v>
      </c>
    </row>
    <row r="234" spans="1:11" ht="12.75" customHeight="1">
      <c r="A234" s="17"/>
      <c r="B234" s="47"/>
      <c r="C234" s="48"/>
      <c r="D234" s="100"/>
      <c r="E234" s="50"/>
      <c r="F234" s="50"/>
      <c r="G234" s="50"/>
      <c r="H234" s="50"/>
      <c r="I234" s="50"/>
      <c r="J234" s="50"/>
      <c r="K234" s="193"/>
    </row>
    <row r="235" spans="1:11" ht="45.75">
      <c r="A235" s="59"/>
      <c r="B235" s="64" t="s">
        <v>148</v>
      </c>
      <c r="C235" s="40">
        <v>1500</v>
      </c>
      <c r="D235" s="41" t="e">
        <f>(C235/#REF!)*100</f>
        <v>#REF!</v>
      </c>
      <c r="E235" s="42">
        <v>1300</v>
      </c>
      <c r="F235" s="42">
        <v>478</v>
      </c>
      <c r="G235" s="42">
        <v>0</v>
      </c>
      <c r="H235" s="42">
        <f>SUM(G235/F235)*100</f>
        <v>0</v>
      </c>
      <c r="I235" s="42">
        <v>478</v>
      </c>
      <c r="J235" s="42">
        <v>7400</v>
      </c>
      <c r="K235" s="42">
        <f>SUM(J235/I235)*100</f>
        <v>1548.1171548117154</v>
      </c>
    </row>
    <row r="236" spans="1:11" ht="12.75" customHeight="1">
      <c r="A236" s="47"/>
      <c r="B236" s="84"/>
      <c r="C236" s="48"/>
      <c r="D236" s="100"/>
      <c r="E236" s="50"/>
      <c r="F236" s="50"/>
      <c r="G236" s="50"/>
      <c r="H236" s="50"/>
      <c r="I236" s="50"/>
      <c r="J236" s="50"/>
      <c r="K236" s="229"/>
    </row>
    <row r="237" spans="1:11" ht="15.75">
      <c r="A237" s="58">
        <v>75416</v>
      </c>
      <c r="B237" s="59" t="s">
        <v>55</v>
      </c>
      <c r="C237" s="32">
        <f>SUM(C239:C241)</f>
        <v>946520</v>
      </c>
      <c r="D237" s="60" t="e">
        <f>(C237/#REF!)*100</f>
        <v>#REF!</v>
      </c>
      <c r="E237" s="34">
        <f>SUM(E239:E241)</f>
        <v>1192220</v>
      </c>
      <c r="F237" s="34">
        <f>SUM(F239:F241)</f>
        <v>1192220</v>
      </c>
      <c r="G237" s="34">
        <f>SUM(G239:G241)</f>
        <v>754836.48</v>
      </c>
      <c r="H237" s="34">
        <f>SUM(G237/F237)*100</f>
        <v>63.313522671990064</v>
      </c>
      <c r="I237" s="34">
        <f>SUM(I239:I241)</f>
        <v>1192196.4100000001</v>
      </c>
      <c r="J237" s="34">
        <f>SUM(J239:J241)</f>
        <v>949500</v>
      </c>
      <c r="K237" s="34">
        <f>SUM(J237/I237)*100</f>
        <v>79.64291722703643</v>
      </c>
    </row>
    <row r="238" spans="1:11" ht="15.75">
      <c r="A238" s="47"/>
      <c r="B238" s="149"/>
      <c r="C238" s="61"/>
      <c r="D238" s="56"/>
      <c r="E238" s="50"/>
      <c r="F238" s="50"/>
      <c r="G238" s="50"/>
      <c r="H238" s="50"/>
      <c r="I238" s="50"/>
      <c r="J238" s="50"/>
      <c r="K238" s="229"/>
    </row>
    <row r="239" spans="1:11" ht="15.75">
      <c r="A239" s="17"/>
      <c r="B239" s="91" t="s">
        <v>286</v>
      </c>
      <c r="C239" s="40">
        <v>647920</v>
      </c>
      <c r="D239" s="41" t="e">
        <f>(C239/#REF!)*100</f>
        <v>#REF!</v>
      </c>
      <c r="E239" s="42">
        <v>825640</v>
      </c>
      <c r="F239" s="42">
        <v>808040</v>
      </c>
      <c r="G239" s="42">
        <v>654988.47</v>
      </c>
      <c r="H239" s="42">
        <f>SUM(G239/F239)*100</f>
        <v>81.0589166377902</v>
      </c>
      <c r="I239" s="42">
        <v>808016.41</v>
      </c>
      <c r="J239" s="42">
        <f>835500-100000</f>
        <v>735500</v>
      </c>
      <c r="K239" s="42">
        <f>SUM(J239/I239)*100</f>
        <v>91.02537905139823</v>
      </c>
    </row>
    <row r="240" spans="1:11" ht="15.75">
      <c r="A240" s="17"/>
      <c r="B240" s="38" t="s">
        <v>27</v>
      </c>
      <c r="C240" s="40">
        <v>98600</v>
      </c>
      <c r="D240" s="41" t="e">
        <f>(C240/#REF!)*100</f>
        <v>#REF!</v>
      </c>
      <c r="E240" s="42">
        <v>150000</v>
      </c>
      <c r="F240" s="42">
        <v>167600</v>
      </c>
      <c r="G240" s="42">
        <v>99848.01</v>
      </c>
      <c r="H240" s="42">
        <f>SUM(G240/F240)*100</f>
        <v>59.57518496420048</v>
      </c>
      <c r="I240" s="42">
        <v>167600</v>
      </c>
      <c r="J240" s="42">
        <f>164400-14400</f>
        <v>150000</v>
      </c>
      <c r="K240" s="42">
        <f>SUM(J240/I240)*100</f>
        <v>89.49880668257757</v>
      </c>
    </row>
    <row r="241" spans="1:11" ht="15.75">
      <c r="A241" s="17"/>
      <c r="B241" s="88" t="s">
        <v>287</v>
      </c>
      <c r="C241" s="66">
        <v>200000</v>
      </c>
      <c r="D241" s="56" t="e">
        <f>(C241/#REF!)*100</f>
        <v>#REF!</v>
      </c>
      <c r="E241" s="89">
        <f>SUM(E243)</f>
        <v>216580</v>
      </c>
      <c r="F241" s="89">
        <f>SUM(F243)</f>
        <v>216580</v>
      </c>
      <c r="G241" s="89">
        <f>SUM(G243)</f>
        <v>0</v>
      </c>
      <c r="H241" s="37">
        <f>SUM(G241/F241)*100</f>
        <v>0</v>
      </c>
      <c r="I241" s="89">
        <f>SUM(I243)</f>
        <v>216580</v>
      </c>
      <c r="J241" s="89">
        <f>SUM(J243)</f>
        <v>64000</v>
      </c>
      <c r="K241" s="37">
        <f>SUM(J241/I241)*100</f>
        <v>29.550281651121985</v>
      </c>
    </row>
    <row r="242" spans="1:11" ht="15.75">
      <c r="A242" s="17"/>
      <c r="B242" s="88" t="s">
        <v>4</v>
      </c>
      <c r="C242" s="66"/>
      <c r="D242" s="56"/>
      <c r="E242" s="67"/>
      <c r="F242" s="67"/>
      <c r="G242" s="67"/>
      <c r="H242" s="67"/>
      <c r="I242" s="67"/>
      <c r="J242" s="67"/>
      <c r="K242" s="120"/>
    </row>
    <row r="243" spans="1:11" ht="15.75">
      <c r="A243" s="17"/>
      <c r="B243" s="65" t="s">
        <v>411</v>
      </c>
      <c r="C243" s="66"/>
      <c r="D243" s="56"/>
      <c r="E243" s="67">
        <f>300000-83420</f>
        <v>216580</v>
      </c>
      <c r="F243" s="67">
        <f>300000-83420</f>
        <v>216580</v>
      </c>
      <c r="G243" s="67">
        <v>0</v>
      </c>
      <c r="H243" s="42">
        <f>SUM(G243/F243)*100</f>
        <v>0</v>
      </c>
      <c r="I243" s="67">
        <v>216580</v>
      </c>
      <c r="J243" s="67">
        <v>64000</v>
      </c>
      <c r="K243" s="42">
        <f>SUM(J243/I243)*100</f>
        <v>29.550281651121985</v>
      </c>
    </row>
    <row r="244" spans="1:11" ht="15.75">
      <c r="A244" s="17"/>
      <c r="B244" s="84"/>
      <c r="C244" s="61"/>
      <c r="D244" s="100"/>
      <c r="E244" s="62"/>
      <c r="F244" s="62"/>
      <c r="G244" s="62"/>
      <c r="H244" s="62"/>
      <c r="I244" s="62"/>
      <c r="J244" s="62"/>
      <c r="K244" s="229"/>
    </row>
    <row r="245" spans="1:11" ht="15.75">
      <c r="A245" s="58">
        <v>75421</v>
      </c>
      <c r="B245" s="59" t="s">
        <v>184</v>
      </c>
      <c r="C245" s="32">
        <f>SUM(C258:C262)</f>
        <v>0</v>
      </c>
      <c r="D245" s="60" t="e">
        <f>(C245/#REF!)*100</f>
        <v>#REF!</v>
      </c>
      <c r="E245" s="34">
        <f>SUM(E247)</f>
        <v>15000</v>
      </c>
      <c r="F245" s="34">
        <f>SUM(F247)</f>
        <v>13927.84</v>
      </c>
      <c r="G245" s="34">
        <f>SUM(G247)</f>
        <v>0</v>
      </c>
      <c r="H245" s="34">
        <f>SUM(G245/F245)*100</f>
        <v>0</v>
      </c>
      <c r="I245" s="34">
        <f>SUM(I247)</f>
        <v>13927.84</v>
      </c>
      <c r="J245" s="34">
        <f>SUM(J247)</f>
        <v>0</v>
      </c>
      <c r="K245" s="34">
        <f>SUM(J245/I245)*100</f>
        <v>0</v>
      </c>
    </row>
    <row r="246" spans="1:11" ht="15.75">
      <c r="A246" s="47"/>
      <c r="B246" s="84"/>
      <c r="C246" s="61"/>
      <c r="D246" s="100"/>
      <c r="E246" s="62"/>
      <c r="F246" s="62"/>
      <c r="G246" s="62"/>
      <c r="H246" s="62"/>
      <c r="I246" s="62"/>
      <c r="J246" s="62"/>
      <c r="K246" s="229"/>
    </row>
    <row r="247" spans="1:11" ht="15.75">
      <c r="A247" s="17"/>
      <c r="B247" s="64" t="s">
        <v>183</v>
      </c>
      <c r="C247" s="40"/>
      <c r="D247" s="41"/>
      <c r="E247" s="42">
        <v>15000</v>
      </c>
      <c r="F247" s="42">
        <v>13927.84</v>
      </c>
      <c r="G247" s="42">
        <v>0</v>
      </c>
      <c r="H247" s="42">
        <f>SUM(G247/F247)*100</f>
        <v>0</v>
      </c>
      <c r="I247" s="42">
        <v>13927.84</v>
      </c>
      <c r="J247" s="42">
        <v>0</v>
      </c>
      <c r="K247" s="42">
        <f>SUM(J247/I247)*100</f>
        <v>0</v>
      </c>
    </row>
    <row r="248" spans="1:11" ht="15.75">
      <c r="A248" s="17"/>
      <c r="B248" s="126"/>
      <c r="C248" s="99"/>
      <c r="D248" s="100"/>
      <c r="E248" s="101"/>
      <c r="F248" s="101"/>
      <c r="G248" s="101"/>
      <c r="H248" s="101"/>
      <c r="I248" s="101"/>
      <c r="J248" s="101"/>
      <c r="K248" s="77"/>
    </row>
    <row r="249" spans="1:11" ht="15.75">
      <c r="A249" s="59">
        <v>75478</v>
      </c>
      <c r="B249" s="136" t="s">
        <v>264</v>
      </c>
      <c r="C249" s="40"/>
      <c r="D249" s="41"/>
      <c r="E249" s="221">
        <f>SUM(E251)</f>
        <v>0</v>
      </c>
      <c r="F249" s="221">
        <f>SUM(F251:F253)</f>
        <v>159561.16</v>
      </c>
      <c r="G249" s="221">
        <f>SUM(G251:G253)</f>
        <v>142760.78999999998</v>
      </c>
      <c r="H249" s="34">
        <f>SUM(G249/F249)*100</f>
        <v>89.47089003363975</v>
      </c>
      <c r="I249" s="221">
        <f>SUM(I251:I253)</f>
        <v>159560.78999999998</v>
      </c>
      <c r="J249" s="221">
        <f>SUM(J251:J253)</f>
        <v>0</v>
      </c>
      <c r="K249" s="34">
        <f>SUM(J249/I249)*100</f>
        <v>0</v>
      </c>
    </row>
    <row r="250" spans="1:11" ht="15.75">
      <c r="A250" s="17"/>
      <c r="B250" s="65"/>
      <c r="C250" s="66"/>
      <c r="D250" s="56"/>
      <c r="E250" s="67"/>
      <c r="F250" s="67"/>
      <c r="G250" s="67"/>
      <c r="H250" s="67"/>
      <c r="I250" s="67"/>
      <c r="J250" s="67"/>
      <c r="K250" s="120"/>
    </row>
    <row r="251" spans="1:11" ht="30.75">
      <c r="A251" s="17"/>
      <c r="B251" s="64" t="s">
        <v>265</v>
      </c>
      <c r="C251" s="40"/>
      <c r="D251" s="41"/>
      <c r="E251" s="42">
        <v>0</v>
      </c>
      <c r="F251" s="42">
        <v>125361.16</v>
      </c>
      <c r="G251" s="42">
        <v>125360.79</v>
      </c>
      <c r="H251" s="42">
        <f>SUM(G251/F251)*100</f>
        <v>99.999704852763</v>
      </c>
      <c r="I251" s="42">
        <v>125360.79</v>
      </c>
      <c r="J251" s="42">
        <v>0</v>
      </c>
      <c r="K251" s="42">
        <f>SUM(J251/I251)*100</f>
        <v>0</v>
      </c>
    </row>
    <row r="252" spans="1:11" ht="45.75">
      <c r="A252" s="17"/>
      <c r="B252" s="125" t="s">
        <v>330</v>
      </c>
      <c r="C252" s="106"/>
      <c r="D252" s="95"/>
      <c r="E252" s="107"/>
      <c r="F252" s="107">
        <v>33000</v>
      </c>
      <c r="G252" s="107">
        <v>16200</v>
      </c>
      <c r="H252" s="107">
        <f>SUM(G252/F252)*100</f>
        <v>49.09090909090909</v>
      </c>
      <c r="I252" s="107">
        <v>33000</v>
      </c>
      <c r="J252" s="107">
        <v>0</v>
      </c>
      <c r="K252" s="107">
        <f>SUM(J252/I252)*100</f>
        <v>0</v>
      </c>
    </row>
    <row r="253" spans="1:11" ht="45.75">
      <c r="A253" s="59"/>
      <c r="B253" s="64" t="s">
        <v>331</v>
      </c>
      <c r="C253" s="40"/>
      <c r="D253" s="41"/>
      <c r="E253" s="42"/>
      <c r="F253" s="42">
        <v>1200</v>
      </c>
      <c r="G253" s="42">
        <v>1200</v>
      </c>
      <c r="H253" s="107">
        <f>SUM(G253/F253)*100</f>
        <v>100</v>
      </c>
      <c r="I253" s="42">
        <v>1200</v>
      </c>
      <c r="J253" s="42">
        <v>0</v>
      </c>
      <c r="K253" s="107">
        <f>SUM(J253/I253)*100</f>
        <v>0</v>
      </c>
    </row>
    <row r="254" spans="1:11" ht="16.5" thickBot="1">
      <c r="A254" s="43"/>
      <c r="B254" s="143"/>
      <c r="C254" s="113"/>
      <c r="D254" s="114"/>
      <c r="E254" s="115"/>
      <c r="F254" s="115"/>
      <c r="G254" s="115"/>
      <c r="H254" s="115"/>
      <c r="I254" s="115"/>
      <c r="J254" s="115"/>
      <c r="K254" s="230"/>
    </row>
    <row r="255" spans="1:11" ht="15.75">
      <c r="A255" s="2"/>
      <c r="B255" s="3"/>
      <c r="C255" s="4"/>
      <c r="D255" s="5"/>
      <c r="E255" s="4"/>
      <c r="F255" s="4"/>
      <c r="G255" s="4"/>
      <c r="H255" s="4"/>
      <c r="I255" s="4"/>
      <c r="J255" s="4"/>
      <c r="K255" s="243"/>
    </row>
    <row r="256" spans="1:11" ht="15.75">
      <c r="A256" s="6" t="s">
        <v>31</v>
      </c>
      <c r="B256" s="7" t="s">
        <v>0</v>
      </c>
      <c r="C256" s="8" t="s">
        <v>167</v>
      </c>
      <c r="D256" s="8" t="s">
        <v>30</v>
      </c>
      <c r="E256" s="8" t="s">
        <v>234</v>
      </c>
      <c r="F256" s="8" t="s">
        <v>234</v>
      </c>
      <c r="G256" s="8" t="s">
        <v>251</v>
      </c>
      <c r="H256" s="8" t="s">
        <v>30</v>
      </c>
      <c r="I256" s="8" t="s">
        <v>297</v>
      </c>
      <c r="J256" s="8" t="s">
        <v>300</v>
      </c>
      <c r="K256" s="244" t="s">
        <v>30</v>
      </c>
    </row>
    <row r="257" spans="1:11" ht="15.75">
      <c r="A257" s="6" t="s">
        <v>33</v>
      </c>
      <c r="B257" s="9"/>
      <c r="C257" s="8" t="s">
        <v>166</v>
      </c>
      <c r="D257" s="10" t="s">
        <v>12</v>
      </c>
      <c r="E257" s="8" t="s">
        <v>250</v>
      </c>
      <c r="F257" s="8" t="s">
        <v>296</v>
      </c>
      <c r="G257" s="8" t="s">
        <v>296</v>
      </c>
      <c r="H257" s="8" t="s">
        <v>12</v>
      </c>
      <c r="I257" s="8" t="s">
        <v>298</v>
      </c>
      <c r="J257" s="8" t="s">
        <v>301</v>
      </c>
      <c r="K257" s="244" t="s">
        <v>12</v>
      </c>
    </row>
    <row r="258" spans="1:11" ht="16.5" thickBot="1">
      <c r="A258" s="11"/>
      <c r="B258" s="12"/>
      <c r="C258" s="13"/>
      <c r="D258" s="13"/>
      <c r="E258" s="13" t="s">
        <v>233</v>
      </c>
      <c r="F258" s="13" t="s">
        <v>233</v>
      </c>
      <c r="G258" s="13" t="s">
        <v>233</v>
      </c>
      <c r="H258" s="13"/>
      <c r="I258" s="13" t="s">
        <v>299</v>
      </c>
      <c r="J258" s="13" t="s">
        <v>233</v>
      </c>
      <c r="K258" s="245"/>
    </row>
    <row r="259" spans="1:11" ht="15.75">
      <c r="A259" s="47"/>
      <c r="B259" s="149"/>
      <c r="C259" s="48"/>
      <c r="D259" s="100"/>
      <c r="E259" s="50"/>
      <c r="F259" s="50"/>
      <c r="G259" s="50"/>
      <c r="H259" s="50"/>
      <c r="I259" s="50"/>
      <c r="J259" s="50"/>
      <c r="K259" s="229"/>
    </row>
    <row r="260" spans="1:11" ht="63.75" thickBot="1">
      <c r="A260" s="51">
        <v>756</v>
      </c>
      <c r="B260" s="141" t="s">
        <v>243</v>
      </c>
      <c r="C260" s="53">
        <f>SUM(C262)</f>
        <v>0</v>
      </c>
      <c r="D260" s="24" t="e">
        <f>(C260/#REF!)*100</f>
        <v>#REF!</v>
      </c>
      <c r="E260" s="54">
        <f>SUM(E262)</f>
        <v>25000</v>
      </c>
      <c r="F260" s="54">
        <f>SUM(F262)</f>
        <v>25000</v>
      </c>
      <c r="G260" s="54">
        <f>SUM(G262)</f>
        <v>17278.39</v>
      </c>
      <c r="H260" s="24">
        <f>SUM(G260/F260)*100</f>
        <v>69.11355999999999</v>
      </c>
      <c r="I260" s="54">
        <f>SUM(I262)</f>
        <v>23037.48</v>
      </c>
      <c r="J260" s="54">
        <f>SUM(J262)</f>
        <v>24650</v>
      </c>
      <c r="K260" s="24">
        <f>SUM(J260/I260)*100</f>
        <v>106.99955029803607</v>
      </c>
    </row>
    <row r="261" spans="1:11" ht="16.5" thickTop="1">
      <c r="A261" s="17"/>
      <c r="B261" s="17"/>
      <c r="C261" s="147" t="s">
        <v>13</v>
      </c>
      <c r="D261" s="56"/>
      <c r="E261" s="148" t="s">
        <v>13</v>
      </c>
      <c r="F261" s="148" t="s">
        <v>13</v>
      </c>
      <c r="G261" s="148" t="s">
        <v>13</v>
      </c>
      <c r="H261" s="148"/>
      <c r="I261" s="148" t="s">
        <v>13</v>
      </c>
      <c r="J261" s="148" t="s">
        <v>13</v>
      </c>
      <c r="K261" s="234"/>
    </row>
    <row r="262" spans="1:11" ht="31.5">
      <c r="A262" s="58">
        <v>75647</v>
      </c>
      <c r="B262" s="108" t="s">
        <v>170</v>
      </c>
      <c r="C262" s="32">
        <f>SUM(C264:C265)</f>
        <v>0</v>
      </c>
      <c r="D262" s="60" t="e">
        <f>(C262/#REF!)*100</f>
        <v>#REF!</v>
      </c>
      <c r="E262" s="34">
        <f>SUM(E264:E265)</f>
        <v>25000</v>
      </c>
      <c r="F262" s="34">
        <f>SUM(F264:F265)</f>
        <v>25000</v>
      </c>
      <c r="G262" s="34">
        <f>SUM(G264:G265)</f>
        <v>17278.39</v>
      </c>
      <c r="H262" s="34">
        <f>SUM(G262/F262)*100</f>
        <v>69.11355999999999</v>
      </c>
      <c r="I262" s="34">
        <f>SUM(I264:I265)</f>
        <v>23037.48</v>
      </c>
      <c r="J262" s="34">
        <f>SUM(J264:J265)</f>
        <v>24650</v>
      </c>
      <c r="K262" s="34">
        <f>SUM(J262/I262)*100</f>
        <v>106.99955029803607</v>
      </c>
    </row>
    <row r="263" spans="1:11" ht="15.75">
      <c r="A263" s="17"/>
      <c r="B263" s="17"/>
      <c r="C263" s="55"/>
      <c r="D263" s="56"/>
      <c r="E263" s="57"/>
      <c r="F263" s="57"/>
      <c r="G263" s="57"/>
      <c r="H263" s="57"/>
      <c r="I263" s="57"/>
      <c r="J263" s="57"/>
      <c r="K263" s="193"/>
    </row>
    <row r="264" spans="1:11" ht="15.75">
      <c r="A264" s="59"/>
      <c r="B264" s="64" t="s">
        <v>413</v>
      </c>
      <c r="C264" s="40">
        <v>0</v>
      </c>
      <c r="D264" s="41" t="e">
        <f>(C264/#REF!)*100</f>
        <v>#REF!</v>
      </c>
      <c r="E264" s="42">
        <v>25000</v>
      </c>
      <c r="F264" s="42">
        <v>25000</v>
      </c>
      <c r="G264" s="42">
        <v>17278.39</v>
      </c>
      <c r="H264" s="42">
        <f>SUM(G264/F264)*100</f>
        <v>69.11355999999999</v>
      </c>
      <c r="I264" s="42">
        <v>23037.48</v>
      </c>
      <c r="J264" s="42">
        <v>24650</v>
      </c>
      <c r="K264" s="42">
        <f>SUM(J264/I264)*100</f>
        <v>106.99955029803607</v>
      </c>
    </row>
    <row r="265" spans="1:11" ht="15.75">
      <c r="A265" s="43"/>
      <c r="B265" s="143"/>
      <c r="C265" s="113"/>
      <c r="D265" s="92"/>
      <c r="E265" s="115"/>
      <c r="F265" s="115"/>
      <c r="G265" s="115"/>
      <c r="H265" s="115"/>
      <c r="I265" s="115"/>
      <c r="J265" s="115"/>
      <c r="K265" s="230"/>
    </row>
    <row r="266" spans="1:11" ht="12.75" customHeight="1">
      <c r="A266" s="47"/>
      <c r="B266" s="149"/>
      <c r="C266" s="48"/>
      <c r="D266" s="56"/>
      <c r="E266" s="50"/>
      <c r="F266" s="50"/>
      <c r="G266" s="50"/>
      <c r="H266" s="50"/>
      <c r="I266" s="50"/>
      <c r="J266" s="50"/>
      <c r="K266" s="229"/>
    </row>
    <row r="267" spans="1:11" ht="16.5" thickBot="1">
      <c r="A267" s="51">
        <v>757</v>
      </c>
      <c r="B267" s="152" t="s">
        <v>56</v>
      </c>
      <c r="C267" s="53">
        <f>SUM(C269,C273)</f>
        <v>1180368</v>
      </c>
      <c r="D267" s="24" t="e">
        <f>(C267/#REF!)*100</f>
        <v>#REF!</v>
      </c>
      <c r="E267" s="54">
        <f>SUM(E269,E273)</f>
        <v>2070200</v>
      </c>
      <c r="F267" s="54">
        <f>SUM(F269,F273)</f>
        <v>1824200</v>
      </c>
      <c r="G267" s="54">
        <f>SUM(G269,G273)</f>
        <v>259724.83</v>
      </c>
      <c r="H267" s="24">
        <f>SUM(G267/F267)*100</f>
        <v>14.237738734787852</v>
      </c>
      <c r="I267" s="54">
        <f>SUM(I269,I273)</f>
        <v>800000</v>
      </c>
      <c r="J267" s="54">
        <f>SUM(J269,J273)</f>
        <v>1936200</v>
      </c>
      <c r="K267" s="24">
        <f>SUM(J267/I267)*100</f>
        <v>242.02499999999998</v>
      </c>
    </row>
    <row r="268" spans="1:11" ht="12.75" customHeight="1" thickTop="1">
      <c r="A268" s="17"/>
      <c r="B268" s="70"/>
      <c r="C268" s="35"/>
      <c r="D268" s="56"/>
      <c r="E268" s="37"/>
      <c r="F268" s="37"/>
      <c r="G268" s="37"/>
      <c r="H268" s="37"/>
      <c r="I268" s="37"/>
      <c r="J268" s="37"/>
      <c r="K268" s="193"/>
    </row>
    <row r="269" spans="1:11" ht="47.25">
      <c r="A269" s="58">
        <v>75702</v>
      </c>
      <c r="B269" s="153" t="s">
        <v>242</v>
      </c>
      <c r="C269" s="32">
        <f>SUM(C271)</f>
        <v>463000</v>
      </c>
      <c r="D269" s="41" t="e">
        <f>(C269/#REF!)*100</f>
        <v>#REF!</v>
      </c>
      <c r="E269" s="34">
        <f>SUM(E271)</f>
        <v>1634000</v>
      </c>
      <c r="F269" s="34">
        <f>SUM(F271)</f>
        <v>1388000</v>
      </c>
      <c r="G269" s="34">
        <f>SUM(G271)</f>
        <v>259724.83</v>
      </c>
      <c r="H269" s="34">
        <f>SUM(G269/F269)*100</f>
        <v>18.712163544668588</v>
      </c>
      <c r="I269" s="34">
        <f>SUM(I271)</f>
        <v>800000</v>
      </c>
      <c r="J269" s="34">
        <f>SUM(J271)</f>
        <v>1500000</v>
      </c>
      <c r="K269" s="34">
        <f>SUM(J269/I269)*100</f>
        <v>187.5</v>
      </c>
    </row>
    <row r="270" spans="1:11" ht="12.75" customHeight="1">
      <c r="A270" s="17"/>
      <c r="B270" s="149"/>
      <c r="C270" s="35"/>
      <c r="D270" s="56"/>
      <c r="E270" s="37"/>
      <c r="F270" s="37"/>
      <c r="G270" s="37"/>
      <c r="H270" s="37"/>
      <c r="I270" s="37"/>
      <c r="J270" s="37"/>
      <c r="K270" s="193"/>
    </row>
    <row r="271" spans="1:11" ht="30.75">
      <c r="A271" s="17"/>
      <c r="B271" s="86" t="s">
        <v>230</v>
      </c>
      <c r="C271" s="40">
        <v>463000</v>
      </c>
      <c r="D271" s="41" t="e">
        <f>(C271/#REF!)*100</f>
        <v>#REF!</v>
      </c>
      <c r="E271" s="42">
        <v>1634000</v>
      </c>
      <c r="F271" s="42">
        <v>1388000</v>
      </c>
      <c r="G271" s="42">
        <v>259724.83</v>
      </c>
      <c r="H271" s="42">
        <f>SUM(G271/F271)*100</f>
        <v>18.712163544668588</v>
      </c>
      <c r="I271" s="42">
        <v>800000</v>
      </c>
      <c r="J271" s="42">
        <v>1500000</v>
      </c>
      <c r="K271" s="42">
        <f>SUM(J271/I271)*100</f>
        <v>187.5</v>
      </c>
    </row>
    <row r="272" spans="1:11" ht="12.75" customHeight="1">
      <c r="A272" s="17"/>
      <c r="B272" s="154"/>
      <c r="C272" s="35"/>
      <c r="D272" s="56"/>
      <c r="E272" s="37"/>
      <c r="F272" s="37"/>
      <c r="G272" s="37"/>
      <c r="H272" s="37"/>
      <c r="I272" s="37"/>
      <c r="J272" s="37"/>
      <c r="K272" s="193"/>
    </row>
    <row r="273" spans="1:11" ht="47.25">
      <c r="A273" s="58">
        <v>75704</v>
      </c>
      <c r="B273" s="153" t="s">
        <v>105</v>
      </c>
      <c r="C273" s="32">
        <f>SUM(C275:C275)</f>
        <v>717368</v>
      </c>
      <c r="D273" s="60" t="e">
        <f>(C273/#REF!)*100</f>
        <v>#REF!</v>
      </c>
      <c r="E273" s="34">
        <f>SUM(E275:E275)</f>
        <v>436200</v>
      </c>
      <c r="F273" s="34">
        <f>SUM(F275:F275)</f>
        <v>436200</v>
      </c>
      <c r="G273" s="34">
        <f>SUM(G275:G275)</f>
        <v>0</v>
      </c>
      <c r="H273" s="34">
        <f>SUM(G273/F273)*100</f>
        <v>0</v>
      </c>
      <c r="I273" s="34">
        <f>SUM(I275:I275)</f>
        <v>0</v>
      </c>
      <c r="J273" s="34">
        <f>SUM(J275:J275)</f>
        <v>436200</v>
      </c>
      <c r="K273" s="34">
        <v>0</v>
      </c>
    </row>
    <row r="274" spans="1:11" ht="12.75" customHeight="1">
      <c r="A274" s="17"/>
      <c r="B274" s="154"/>
      <c r="C274" s="35"/>
      <c r="D274" s="56"/>
      <c r="E274" s="37"/>
      <c r="F274" s="37"/>
      <c r="G274" s="37"/>
      <c r="H274" s="37"/>
      <c r="I274" s="37"/>
      <c r="J274" s="37"/>
      <c r="K274" s="193"/>
    </row>
    <row r="275" spans="1:11" ht="30.75">
      <c r="A275" s="59"/>
      <c r="B275" s="86" t="s">
        <v>185</v>
      </c>
      <c r="C275" s="40">
        <v>717368</v>
      </c>
      <c r="D275" s="41" t="e">
        <f>(C275/#REF!)*100</f>
        <v>#REF!</v>
      </c>
      <c r="E275" s="42">
        <v>436200</v>
      </c>
      <c r="F275" s="42">
        <v>436200</v>
      </c>
      <c r="G275" s="42">
        <v>0</v>
      </c>
      <c r="H275" s="42">
        <f>SUM(G275/F275)*100</f>
        <v>0</v>
      </c>
      <c r="I275" s="42">
        <v>0</v>
      </c>
      <c r="J275" s="42">
        <v>436200</v>
      </c>
      <c r="K275" s="42">
        <v>0</v>
      </c>
    </row>
    <row r="276" spans="1:11" ht="15.75">
      <c r="A276" s="43"/>
      <c r="B276" s="121"/>
      <c r="C276" s="150"/>
      <c r="D276" s="114"/>
      <c r="E276" s="151"/>
      <c r="F276" s="151"/>
      <c r="G276" s="151"/>
      <c r="H276" s="151"/>
      <c r="I276" s="151"/>
      <c r="J276" s="151"/>
      <c r="K276" s="231"/>
    </row>
    <row r="277" spans="1:11" ht="12.75" customHeight="1">
      <c r="A277" s="47"/>
      <c r="B277" s="149"/>
      <c r="C277" s="48"/>
      <c r="D277" s="56"/>
      <c r="E277" s="50"/>
      <c r="F277" s="50"/>
      <c r="G277" s="50"/>
      <c r="H277" s="50"/>
      <c r="I277" s="50"/>
      <c r="J277" s="50"/>
      <c r="K277" s="229"/>
    </row>
    <row r="278" spans="1:11" ht="16.5" thickBot="1">
      <c r="A278" s="51">
        <v>758</v>
      </c>
      <c r="B278" s="152" t="s">
        <v>57</v>
      </c>
      <c r="C278" s="53">
        <f>SUM(C280)</f>
        <v>1139200</v>
      </c>
      <c r="D278" s="24">
        <v>0</v>
      </c>
      <c r="E278" s="54">
        <f>SUM(E280)</f>
        <v>350000</v>
      </c>
      <c r="F278" s="54">
        <f>SUM(F280)</f>
        <v>223542</v>
      </c>
      <c r="G278" s="54">
        <f>SUM(G280)</f>
        <v>0</v>
      </c>
      <c r="H278" s="24">
        <f>SUM(G278/F278)*100</f>
        <v>0</v>
      </c>
      <c r="I278" s="54">
        <f>SUM(I280)</f>
        <v>0</v>
      </c>
      <c r="J278" s="54">
        <f>SUM(J280)</f>
        <v>350000</v>
      </c>
      <c r="K278" s="24">
        <v>0</v>
      </c>
    </row>
    <row r="279" spans="1:11" ht="12.75" customHeight="1" thickTop="1">
      <c r="A279" s="17"/>
      <c r="B279" s="70"/>
      <c r="C279" s="35"/>
      <c r="D279" s="56"/>
      <c r="E279" s="37"/>
      <c r="F279" s="37"/>
      <c r="G279" s="37"/>
      <c r="H279" s="37"/>
      <c r="I279" s="37"/>
      <c r="J279" s="37"/>
      <c r="K279" s="193"/>
    </row>
    <row r="280" spans="1:11" ht="15.75">
      <c r="A280" s="58">
        <v>75818</v>
      </c>
      <c r="B280" s="155" t="s">
        <v>91</v>
      </c>
      <c r="C280" s="32">
        <f>SUM(C282,C285)</f>
        <v>1139200</v>
      </c>
      <c r="D280" s="41">
        <v>0</v>
      </c>
      <c r="E280" s="34">
        <f>SUM(E282,E285)</f>
        <v>350000</v>
      </c>
      <c r="F280" s="34">
        <f>SUM(F282,F285)</f>
        <v>223542</v>
      </c>
      <c r="G280" s="34">
        <f>SUM(G282,G285)</f>
        <v>0</v>
      </c>
      <c r="H280" s="34">
        <f>SUM(G280/F280)*100</f>
        <v>0</v>
      </c>
      <c r="I280" s="34">
        <f>SUM(I282,I285)</f>
        <v>0</v>
      </c>
      <c r="J280" s="34">
        <f>SUM(J282,J285)</f>
        <v>350000</v>
      </c>
      <c r="K280" s="34">
        <v>0</v>
      </c>
    </row>
    <row r="281" spans="1:11" ht="12.75" customHeight="1">
      <c r="A281" s="17"/>
      <c r="B281" s="70"/>
      <c r="C281" s="35"/>
      <c r="D281" s="56"/>
      <c r="E281" s="37"/>
      <c r="F281" s="37"/>
      <c r="G281" s="37"/>
      <c r="H281" s="37"/>
      <c r="I281" s="37"/>
      <c r="J281" s="37"/>
      <c r="K281" s="193"/>
    </row>
    <row r="282" spans="1:11" ht="15.75">
      <c r="A282" s="17"/>
      <c r="B282" s="17" t="s">
        <v>3</v>
      </c>
      <c r="C282" s="35">
        <f>SUM(C283)</f>
        <v>222200</v>
      </c>
      <c r="D282" s="156">
        <v>0</v>
      </c>
      <c r="E282" s="37">
        <f>SUM(E283)</f>
        <v>200000</v>
      </c>
      <c r="F282" s="37">
        <f>SUM(F283)</f>
        <v>106322</v>
      </c>
      <c r="G282" s="37">
        <f>SUM(G283)</f>
        <v>0</v>
      </c>
      <c r="H282" s="37">
        <f>SUM(G282/F282)*100</f>
        <v>0</v>
      </c>
      <c r="I282" s="37">
        <f>SUM(I283)</f>
        <v>0</v>
      </c>
      <c r="J282" s="37">
        <f>SUM(J283)</f>
        <v>130000</v>
      </c>
      <c r="K282" s="67">
        <v>0</v>
      </c>
    </row>
    <row r="283" spans="1:11" ht="15.75">
      <c r="A283" s="17"/>
      <c r="B283" s="59" t="s">
        <v>22</v>
      </c>
      <c r="C283" s="32">
        <f>300000+212200-290000</f>
        <v>222200</v>
      </c>
      <c r="D283" s="41">
        <v>0</v>
      </c>
      <c r="E283" s="34">
        <v>200000</v>
      </c>
      <c r="F283" s="34">
        <v>106322</v>
      </c>
      <c r="G283" s="34">
        <v>0</v>
      </c>
      <c r="H283" s="34">
        <f>SUM(G283/F283)*100</f>
        <v>0</v>
      </c>
      <c r="I283" s="34">
        <v>0</v>
      </c>
      <c r="J283" s="34">
        <v>130000</v>
      </c>
      <c r="K283" s="42">
        <v>0</v>
      </c>
    </row>
    <row r="284" spans="1:11" ht="15.75">
      <c r="A284" s="17"/>
      <c r="B284" s="47"/>
      <c r="C284" s="61"/>
      <c r="D284" s="56"/>
      <c r="E284" s="62"/>
      <c r="F284" s="62"/>
      <c r="G284" s="62"/>
      <c r="H284" s="62"/>
      <c r="I284" s="62"/>
      <c r="J284" s="62"/>
      <c r="K284" s="229"/>
    </row>
    <row r="285" spans="1:11" ht="15.75">
      <c r="A285" s="17"/>
      <c r="B285" s="93" t="s">
        <v>23</v>
      </c>
      <c r="C285" s="35">
        <f>SUM(C287)</f>
        <v>917000</v>
      </c>
      <c r="D285" s="156">
        <v>0</v>
      </c>
      <c r="E285" s="37">
        <f>SUM(E287)</f>
        <v>150000</v>
      </c>
      <c r="F285" s="37">
        <f>SUM(F287)</f>
        <v>117220</v>
      </c>
      <c r="G285" s="37">
        <f>SUM(G287)</f>
        <v>0</v>
      </c>
      <c r="H285" s="37">
        <f>SUM(G285/F285)*100</f>
        <v>0</v>
      </c>
      <c r="I285" s="37">
        <f>SUM(I287)</f>
        <v>0</v>
      </c>
      <c r="J285" s="37">
        <f>SUM(J287)</f>
        <v>220000</v>
      </c>
      <c r="K285" s="67">
        <v>0</v>
      </c>
    </row>
    <row r="286" spans="1:11" ht="15.75">
      <c r="A286" s="17"/>
      <c r="B286" s="65" t="s">
        <v>4</v>
      </c>
      <c r="C286" s="35"/>
      <c r="D286" s="56"/>
      <c r="E286" s="57"/>
      <c r="F286" s="57"/>
      <c r="G286" s="57"/>
      <c r="H286" s="57"/>
      <c r="I286" s="57"/>
      <c r="J286" s="37"/>
      <c r="K286" s="193"/>
    </row>
    <row r="287" spans="1:11" ht="15.75">
      <c r="A287" s="17"/>
      <c r="B287" s="157" t="s">
        <v>103</v>
      </c>
      <c r="C287" s="32">
        <f>SUM(C288:C289)</f>
        <v>917000</v>
      </c>
      <c r="D287" s="41">
        <v>0</v>
      </c>
      <c r="E287" s="34">
        <f>SUM(E288:E289)</f>
        <v>150000</v>
      </c>
      <c r="F287" s="34">
        <f>SUM(F288:F289)</f>
        <v>117220</v>
      </c>
      <c r="G287" s="34">
        <f>SUM(G288:G289)</f>
        <v>0</v>
      </c>
      <c r="H287" s="34">
        <f>SUM(G287/F287)*100</f>
        <v>0</v>
      </c>
      <c r="I287" s="34">
        <f>SUM(I288:I289)</f>
        <v>0</v>
      </c>
      <c r="J287" s="34">
        <f>SUM(J288:J289)</f>
        <v>220000</v>
      </c>
      <c r="K287" s="221">
        <v>0</v>
      </c>
    </row>
    <row r="288" spans="1:11" ht="30.75">
      <c r="A288" s="17"/>
      <c r="B288" s="125" t="s">
        <v>141</v>
      </c>
      <c r="C288" s="106">
        <v>17000</v>
      </c>
      <c r="D288" s="95">
        <v>0</v>
      </c>
      <c r="E288" s="107">
        <v>15000</v>
      </c>
      <c r="F288" s="107">
        <v>15000</v>
      </c>
      <c r="G288" s="107">
        <v>0</v>
      </c>
      <c r="H288" s="42">
        <f>SUM(G288/F288)*100</f>
        <v>0</v>
      </c>
      <c r="I288" s="107">
        <v>0</v>
      </c>
      <c r="J288" s="251">
        <v>220000</v>
      </c>
      <c r="K288" s="42">
        <v>0</v>
      </c>
    </row>
    <row r="289" spans="1:11" ht="15.75">
      <c r="A289" s="59"/>
      <c r="B289" s="125" t="s">
        <v>102</v>
      </c>
      <c r="C289" s="106">
        <v>900000</v>
      </c>
      <c r="D289" s="95">
        <v>0</v>
      </c>
      <c r="E289" s="107">
        <v>135000</v>
      </c>
      <c r="F289" s="107">
        <f>135000-32780</f>
        <v>102220</v>
      </c>
      <c r="G289" s="107">
        <v>0</v>
      </c>
      <c r="H289" s="42">
        <f>SUM(G289/F289)*100</f>
        <v>0</v>
      </c>
      <c r="I289" s="107">
        <v>0</v>
      </c>
      <c r="J289" s="251">
        <v>0</v>
      </c>
      <c r="K289" s="42">
        <v>0</v>
      </c>
    </row>
    <row r="290" spans="1:11" ht="15.75">
      <c r="A290" s="43"/>
      <c r="B290" s="143"/>
      <c r="C290" s="113"/>
      <c r="D290" s="122"/>
      <c r="E290" s="115"/>
      <c r="F290" s="115"/>
      <c r="G290" s="115"/>
      <c r="H290" s="115"/>
      <c r="I290" s="115"/>
      <c r="J290" s="115"/>
      <c r="K290" s="230"/>
    </row>
    <row r="291" spans="1:11" ht="12.75" customHeight="1">
      <c r="A291" s="47"/>
      <c r="B291" s="47"/>
      <c r="C291" s="48"/>
      <c r="D291" s="56"/>
      <c r="E291" s="50"/>
      <c r="F291" s="50"/>
      <c r="G291" s="50"/>
      <c r="H291" s="50"/>
      <c r="I291" s="50"/>
      <c r="J291" s="50"/>
      <c r="K291" s="229"/>
    </row>
    <row r="292" spans="1:11" ht="16.5" thickBot="1">
      <c r="A292" s="51">
        <v>801</v>
      </c>
      <c r="B292" s="152" t="s">
        <v>58</v>
      </c>
      <c r="C292" s="53" t="e">
        <f>SUM(C294,C329,C373,C404,C408,C415,C427)</f>
        <v>#REF!</v>
      </c>
      <c r="D292" s="158" t="e">
        <f>(C292/#REF!)*100</f>
        <v>#REF!</v>
      </c>
      <c r="E292" s="54">
        <f>SUM(E294,E329,E373,E404,E408,E415,E427)</f>
        <v>34673718</v>
      </c>
      <c r="F292" s="54">
        <f>SUM(F294,F329,F373,F404,F408,F415,F427)</f>
        <v>33167198</v>
      </c>
      <c r="G292" s="54">
        <f>SUM(G294,G329,G373,G404,G408,G415,G427)</f>
        <v>23319860.939999998</v>
      </c>
      <c r="H292" s="24">
        <f>SUM(G292/F292)*100</f>
        <v>70.31001213910201</v>
      </c>
      <c r="I292" s="54">
        <f>SUM(I294,I329,I373,I404,I408,I415,I427)</f>
        <v>32333084.95</v>
      </c>
      <c r="J292" s="54">
        <f>SUM(J294,J329,J373,J404,J408,J415,J427)</f>
        <v>37469048</v>
      </c>
      <c r="K292" s="24">
        <f>SUM(J292/I292)*100</f>
        <v>115.88454382853438</v>
      </c>
    </row>
    <row r="293" spans="1:11" ht="12.75" customHeight="1" thickTop="1">
      <c r="A293" s="17"/>
      <c r="B293" s="70"/>
      <c r="C293" s="55"/>
      <c r="D293" s="94"/>
      <c r="E293" s="57"/>
      <c r="F293" s="57"/>
      <c r="G293" s="57"/>
      <c r="H293" s="57"/>
      <c r="I293" s="57"/>
      <c r="J293" s="57"/>
      <c r="K293" s="193"/>
    </row>
    <row r="294" spans="1:11" ht="15.75">
      <c r="A294" s="58">
        <v>80101</v>
      </c>
      <c r="B294" s="155" t="s">
        <v>59</v>
      </c>
      <c r="C294" s="32">
        <f>SUM(C296,C301,C313)</f>
        <v>11009331</v>
      </c>
      <c r="D294" s="33" t="e">
        <f>(C294/#REF!)*100</f>
        <v>#REF!</v>
      </c>
      <c r="E294" s="34">
        <f>SUM(E296,E301,E313)</f>
        <v>12047997</v>
      </c>
      <c r="F294" s="34">
        <f>SUM(F296,F301,F313)</f>
        <v>11081235</v>
      </c>
      <c r="G294" s="34">
        <f>SUM(G296,G301,G313)</f>
        <v>7919186.77</v>
      </c>
      <c r="H294" s="34">
        <f>SUM(G294/F294)*100</f>
        <v>71.46483916278285</v>
      </c>
      <c r="I294" s="34">
        <f>SUM(I296,I301,I313)</f>
        <v>10850559.28</v>
      </c>
      <c r="J294" s="34">
        <f>SUM(J296,J301,J313)</f>
        <v>12018347</v>
      </c>
      <c r="K294" s="34">
        <f>SUM(J294/I294)*100</f>
        <v>110.7624656929205</v>
      </c>
    </row>
    <row r="295" spans="1:11" ht="12.75" customHeight="1">
      <c r="A295" s="17"/>
      <c r="B295" s="70"/>
      <c r="C295" s="61"/>
      <c r="D295" s="94"/>
      <c r="E295" s="62"/>
      <c r="F295" s="62"/>
      <c r="G295" s="62"/>
      <c r="H295" s="62"/>
      <c r="I295" s="62"/>
      <c r="J295" s="62"/>
      <c r="K295" s="229"/>
    </row>
    <row r="296" spans="1:11" ht="31.5">
      <c r="A296" s="17"/>
      <c r="B296" s="159" t="s">
        <v>266</v>
      </c>
      <c r="C296" s="35">
        <f>9097093+4500+122488</f>
        <v>9224081</v>
      </c>
      <c r="D296" s="94" t="e">
        <f>(C296/#REF!)*100</f>
        <v>#REF!</v>
      </c>
      <c r="E296" s="37">
        <f>9917452+182795-74000</f>
        <v>10026247</v>
      </c>
      <c r="F296" s="37">
        <v>10171743</v>
      </c>
      <c r="G296" s="37">
        <v>7343908.96</v>
      </c>
      <c r="H296" s="37">
        <f>SUM(G296/F296)*100</f>
        <v>72.19912024910579</v>
      </c>
      <c r="I296" s="37">
        <v>10171743</v>
      </c>
      <c r="J296" s="37">
        <f>10237275+420778-200000-82000-60000-17356</f>
        <v>10298697</v>
      </c>
      <c r="K296" s="67">
        <f>SUM(J296/I296)*100</f>
        <v>101.24810467586529</v>
      </c>
    </row>
    <row r="297" spans="1:11" ht="15.75">
      <c r="A297" s="17"/>
      <c r="B297" s="159" t="s">
        <v>133</v>
      </c>
      <c r="C297" s="35"/>
      <c r="D297" s="56"/>
      <c r="E297" s="37"/>
      <c r="F297" s="37"/>
      <c r="G297" s="37"/>
      <c r="H297" s="37"/>
      <c r="I297" s="37"/>
      <c r="J297" s="37"/>
      <c r="K297" s="193"/>
    </row>
    <row r="298" spans="1:11" ht="15.75">
      <c r="A298" s="17"/>
      <c r="B298" s="91" t="s">
        <v>94</v>
      </c>
      <c r="C298" s="40">
        <f>7733204+122488</f>
        <v>7855692</v>
      </c>
      <c r="D298" s="41" t="e">
        <f>(C298/#REF!)*100</f>
        <v>#REF!</v>
      </c>
      <c r="E298" s="42">
        <f>8286106+182795</f>
        <v>8468901</v>
      </c>
      <c r="F298" s="42">
        <v>8528123</v>
      </c>
      <c r="G298" s="42">
        <v>6183304.64</v>
      </c>
      <c r="H298" s="42">
        <f>SUM(G298/F298)*100</f>
        <v>72.50487170506335</v>
      </c>
      <c r="I298" s="42">
        <v>8456123</v>
      </c>
      <c r="J298" s="42">
        <f>8620063+420778-82000-60000-17356</f>
        <v>8881485</v>
      </c>
      <c r="K298" s="42">
        <f>SUM(J298/I298)*100</f>
        <v>105.03022484417504</v>
      </c>
    </row>
    <row r="299" spans="1:11" ht="15.75">
      <c r="A299" s="17"/>
      <c r="B299" s="180" t="s">
        <v>62</v>
      </c>
      <c r="C299" s="106">
        <v>74000</v>
      </c>
      <c r="D299" s="95">
        <v>0</v>
      </c>
      <c r="E299" s="107">
        <v>74000</v>
      </c>
      <c r="F299" s="107">
        <v>69000</v>
      </c>
      <c r="G299" s="107">
        <v>35542</v>
      </c>
      <c r="H299" s="107">
        <f>SUM(G299/F299)*100</f>
        <v>51.51014492753623</v>
      </c>
      <c r="I299" s="107">
        <v>69000</v>
      </c>
      <c r="J299" s="107">
        <v>71000</v>
      </c>
      <c r="K299" s="107">
        <f>SUM(J299/I299)*100</f>
        <v>102.89855072463767</v>
      </c>
    </row>
    <row r="300" spans="1:11" ht="12.75" customHeight="1">
      <c r="A300" s="17"/>
      <c r="B300" s="70"/>
      <c r="C300" s="55"/>
      <c r="D300" s="56"/>
      <c r="E300" s="57"/>
      <c r="F300" s="57"/>
      <c r="G300" s="57"/>
      <c r="H300" s="57"/>
      <c r="I300" s="57"/>
      <c r="J300" s="57"/>
      <c r="K300" s="193"/>
    </row>
    <row r="301" spans="1:11" ht="15.75">
      <c r="A301" s="17"/>
      <c r="B301" s="160" t="s">
        <v>99</v>
      </c>
      <c r="C301" s="35">
        <f>SUM(C303:C306)</f>
        <v>105250</v>
      </c>
      <c r="D301" s="156" t="e">
        <f>(C301/#REF!)*100</f>
        <v>#REF!</v>
      </c>
      <c r="E301" s="37">
        <f>SUM(E303:E304,E305:E311)</f>
        <v>662750</v>
      </c>
      <c r="F301" s="37">
        <f>SUM(F303:F304,F305:F311)</f>
        <v>550077</v>
      </c>
      <c r="G301" s="37">
        <f>SUM(G303:G304,G305:G311)</f>
        <v>275861.54</v>
      </c>
      <c r="H301" s="37">
        <f>SUM(G301/F301)*100</f>
        <v>50.14962268918715</v>
      </c>
      <c r="I301" s="37">
        <f>SUM(I303:I304,I305:I311)</f>
        <v>369985.01</v>
      </c>
      <c r="J301" s="37">
        <f>SUM(J303:J304,J305:J311)</f>
        <v>413750</v>
      </c>
      <c r="K301" s="89">
        <f>SUM(J301/I301)*100</f>
        <v>111.82885490414868</v>
      </c>
    </row>
    <row r="302" spans="1:11" ht="15.75">
      <c r="A302" s="17"/>
      <c r="B302" s="160" t="s">
        <v>4</v>
      </c>
      <c r="C302" s="55"/>
      <c r="D302" s="56"/>
      <c r="E302" s="57"/>
      <c r="F302" s="57"/>
      <c r="G302" s="57"/>
      <c r="H302" s="57"/>
      <c r="I302" s="57"/>
      <c r="J302" s="57"/>
      <c r="K302" s="193"/>
    </row>
    <row r="303" spans="1:11" ht="30.75">
      <c r="A303" s="17"/>
      <c r="B303" s="64" t="s">
        <v>342</v>
      </c>
      <c r="C303" s="40">
        <v>100000</v>
      </c>
      <c r="D303" s="41" t="e">
        <f>(C303/#REF!)*100</f>
        <v>#REF!</v>
      </c>
      <c r="E303" s="42">
        <v>10000</v>
      </c>
      <c r="F303" s="42">
        <v>89906</v>
      </c>
      <c r="G303" s="42">
        <v>0</v>
      </c>
      <c r="H303" s="42">
        <f aca="true" t="shared" si="2" ref="H303:H311">SUM(G303/F303)*100</f>
        <v>0</v>
      </c>
      <c r="I303" s="42">
        <v>0</v>
      </c>
      <c r="J303" s="134">
        <f>125000-25000</f>
        <v>100000</v>
      </c>
      <c r="K303" s="42">
        <v>0</v>
      </c>
    </row>
    <row r="304" spans="1:11" ht="15.75">
      <c r="A304" s="17"/>
      <c r="B304" s="126" t="s">
        <v>343</v>
      </c>
      <c r="C304" s="99">
        <v>4500</v>
      </c>
      <c r="D304" s="100" t="e">
        <f>(C304/#REF!)*100</f>
        <v>#REF!</v>
      </c>
      <c r="E304" s="107">
        <v>3000</v>
      </c>
      <c r="F304" s="107">
        <v>3000</v>
      </c>
      <c r="G304" s="107">
        <v>3000</v>
      </c>
      <c r="H304" s="42">
        <f t="shared" si="2"/>
        <v>100</v>
      </c>
      <c r="I304" s="107">
        <v>3000</v>
      </c>
      <c r="J304" s="251">
        <v>3000</v>
      </c>
      <c r="K304" s="42">
        <f>SUM(J304/I304)*100</f>
        <v>100</v>
      </c>
    </row>
    <row r="305" spans="1:11" ht="60.75">
      <c r="A305" s="17"/>
      <c r="B305" s="125" t="s">
        <v>344</v>
      </c>
      <c r="C305" s="40">
        <v>750</v>
      </c>
      <c r="D305" s="95">
        <v>0</v>
      </c>
      <c r="E305" s="42">
        <v>750</v>
      </c>
      <c r="F305" s="42">
        <v>750</v>
      </c>
      <c r="G305" s="42">
        <v>129.05</v>
      </c>
      <c r="H305" s="42">
        <f t="shared" si="2"/>
        <v>17.206666666666667</v>
      </c>
      <c r="I305" s="42">
        <v>750</v>
      </c>
      <c r="J305" s="42">
        <v>750</v>
      </c>
      <c r="K305" s="42">
        <f>SUM(J305/I305)*100</f>
        <v>100</v>
      </c>
    </row>
    <row r="306" spans="1:11" ht="30.75">
      <c r="A306" s="17"/>
      <c r="B306" s="161" t="s">
        <v>345</v>
      </c>
      <c r="C306" s="106"/>
      <c r="D306" s="95"/>
      <c r="E306" s="107">
        <v>15000</v>
      </c>
      <c r="F306" s="107">
        <v>12836</v>
      </c>
      <c r="G306" s="107">
        <v>0</v>
      </c>
      <c r="H306" s="42">
        <f t="shared" si="2"/>
        <v>0</v>
      </c>
      <c r="I306" s="107">
        <v>0</v>
      </c>
      <c r="J306" s="251">
        <f>17500-7500</f>
        <v>10000</v>
      </c>
      <c r="K306" s="42">
        <v>0</v>
      </c>
    </row>
    <row r="307" spans="1:11" ht="30">
      <c r="A307" s="17"/>
      <c r="B307" s="97" t="s">
        <v>408</v>
      </c>
      <c r="C307" s="40"/>
      <c r="D307" s="41"/>
      <c r="E307" s="42"/>
      <c r="F307" s="42">
        <v>0</v>
      </c>
      <c r="G307" s="42">
        <v>0</v>
      </c>
      <c r="H307" s="42">
        <v>0</v>
      </c>
      <c r="I307" s="42">
        <v>0</v>
      </c>
      <c r="J307" s="42">
        <f>53500-3500</f>
        <v>50000</v>
      </c>
      <c r="K307" s="42">
        <v>0</v>
      </c>
    </row>
    <row r="308" spans="1:11" ht="15" customHeight="1">
      <c r="A308" s="17"/>
      <c r="B308" s="161" t="s">
        <v>332</v>
      </c>
      <c r="C308" s="106"/>
      <c r="D308" s="95"/>
      <c r="E308" s="107">
        <v>150000</v>
      </c>
      <c r="F308" s="107">
        <v>69585</v>
      </c>
      <c r="G308" s="107">
        <v>17.5</v>
      </c>
      <c r="H308" s="42">
        <f t="shared" si="2"/>
        <v>0.02514909822519221</v>
      </c>
      <c r="I308" s="107">
        <v>66265.62</v>
      </c>
      <c r="J308" s="251">
        <f>200000-50000-50000</f>
        <v>100000</v>
      </c>
      <c r="K308" s="42">
        <f>SUM(J308/I308)*100</f>
        <v>150.90781614961122</v>
      </c>
    </row>
    <row r="309" spans="1:11" ht="15" customHeight="1">
      <c r="A309" s="17"/>
      <c r="B309" s="161" t="s">
        <v>333</v>
      </c>
      <c r="C309" s="106"/>
      <c r="D309" s="95"/>
      <c r="E309" s="107">
        <v>150000</v>
      </c>
      <c r="F309" s="107">
        <v>100000</v>
      </c>
      <c r="G309" s="107">
        <v>0</v>
      </c>
      <c r="H309" s="42">
        <f t="shared" si="2"/>
        <v>0</v>
      </c>
      <c r="I309" s="107">
        <v>27254.4</v>
      </c>
      <c r="J309" s="251">
        <f>200000-50000-50000</f>
        <v>100000</v>
      </c>
      <c r="K309" s="42">
        <v>0</v>
      </c>
    </row>
    <row r="310" spans="1:11" ht="15" customHeight="1">
      <c r="A310" s="17"/>
      <c r="B310" s="161" t="s">
        <v>189</v>
      </c>
      <c r="C310" s="106"/>
      <c r="D310" s="95"/>
      <c r="E310" s="107">
        <v>60000</v>
      </c>
      <c r="F310" s="107">
        <v>0</v>
      </c>
      <c r="G310" s="107">
        <v>0</v>
      </c>
      <c r="H310" s="42">
        <v>0</v>
      </c>
      <c r="I310" s="107">
        <v>0</v>
      </c>
      <c r="J310" s="251">
        <v>50000</v>
      </c>
      <c r="K310" s="42">
        <v>0</v>
      </c>
    </row>
    <row r="311" spans="1:11" ht="15" customHeight="1">
      <c r="A311" s="17"/>
      <c r="B311" s="64" t="s">
        <v>187</v>
      </c>
      <c r="C311" s="99"/>
      <c r="D311" s="56"/>
      <c r="E311" s="101">
        <v>274000</v>
      </c>
      <c r="F311" s="101">
        <v>274000</v>
      </c>
      <c r="G311" s="101">
        <f>272714.99</f>
        <v>272714.99</v>
      </c>
      <c r="H311" s="42">
        <f t="shared" si="2"/>
        <v>99.53101824817517</v>
      </c>
      <c r="I311" s="101">
        <v>272714.99</v>
      </c>
      <c r="J311" s="101">
        <v>0</v>
      </c>
      <c r="K311" s="42">
        <v>0</v>
      </c>
    </row>
    <row r="312" spans="1:11" ht="15.75">
      <c r="A312" s="17"/>
      <c r="B312" s="84"/>
      <c r="C312" s="48"/>
      <c r="D312" s="56"/>
      <c r="E312" s="50"/>
      <c r="F312" s="50"/>
      <c r="G312" s="50"/>
      <c r="H312" s="50"/>
      <c r="I312" s="50"/>
      <c r="J312" s="50"/>
      <c r="K312" s="229"/>
    </row>
    <row r="313" spans="1:11" ht="15.75">
      <c r="A313" s="17"/>
      <c r="B313" s="88" t="s">
        <v>186</v>
      </c>
      <c r="C313" s="35">
        <f>SUM(C315:C320)</f>
        <v>1680000</v>
      </c>
      <c r="D313" s="156" t="e">
        <f>(C313/#REF!)*100</f>
        <v>#REF!</v>
      </c>
      <c r="E313" s="37">
        <f>SUM(E315:E321)</f>
        <v>1359000</v>
      </c>
      <c r="F313" s="37">
        <f>SUM(F315:F322)</f>
        <v>359415</v>
      </c>
      <c r="G313" s="37">
        <f>SUM(G315:G322)</f>
        <v>299416.27</v>
      </c>
      <c r="H313" s="37">
        <f>SUM(G313/F313)*100</f>
        <v>83.30655926992475</v>
      </c>
      <c r="I313" s="37">
        <f>SUM(I315:I322)</f>
        <v>308831.27</v>
      </c>
      <c r="J313" s="37">
        <f>SUM(J315:J322)</f>
        <v>1305900</v>
      </c>
      <c r="K313" s="89">
        <f>SUM(J313/I313)*100</f>
        <v>422.85225845167815</v>
      </c>
    </row>
    <row r="314" spans="1:11" ht="15.75">
      <c r="A314" s="17"/>
      <c r="B314" s="88" t="s">
        <v>4</v>
      </c>
      <c r="C314" s="55"/>
      <c r="D314" s="41"/>
      <c r="E314" s="57"/>
      <c r="F314" s="57"/>
      <c r="G314" s="57"/>
      <c r="H314" s="57"/>
      <c r="I314" s="57"/>
      <c r="J314" s="57"/>
      <c r="K314" s="193"/>
    </row>
    <row r="315" spans="1:11" ht="15.75">
      <c r="A315" s="17"/>
      <c r="B315" s="162" t="s">
        <v>134</v>
      </c>
      <c r="C315" s="76"/>
      <c r="D315" s="56"/>
      <c r="E315" s="77"/>
      <c r="F315" s="77"/>
      <c r="G315" s="77"/>
      <c r="H315" s="77"/>
      <c r="I315" s="77"/>
      <c r="J315" s="77"/>
      <c r="K315" s="77"/>
    </row>
    <row r="316" spans="1:11" ht="30.75">
      <c r="A316" s="17"/>
      <c r="B316" s="64" t="s">
        <v>188</v>
      </c>
      <c r="C316" s="40">
        <v>1500000</v>
      </c>
      <c r="D316" s="56">
        <v>0</v>
      </c>
      <c r="E316" s="42">
        <v>1000000</v>
      </c>
      <c r="F316" s="42">
        <v>0</v>
      </c>
      <c r="G316" s="42">
        <v>0</v>
      </c>
      <c r="H316" s="42">
        <v>0</v>
      </c>
      <c r="I316" s="42">
        <v>0</v>
      </c>
      <c r="J316" s="42">
        <v>1000000</v>
      </c>
      <c r="K316" s="42">
        <v>0</v>
      </c>
    </row>
    <row r="317" spans="1:11" ht="15.75">
      <c r="A317" s="70"/>
      <c r="B317" s="88" t="s">
        <v>334</v>
      </c>
      <c r="C317" s="66"/>
      <c r="D317" s="56"/>
      <c r="E317" s="67"/>
      <c r="F317" s="67"/>
      <c r="G317" s="67"/>
      <c r="H317" s="67"/>
      <c r="I317" s="67"/>
      <c r="J317" s="67"/>
      <c r="K317" s="67"/>
    </row>
    <row r="318" spans="1:11" ht="30.75">
      <c r="A318" s="70"/>
      <c r="B318" s="65" t="s">
        <v>335</v>
      </c>
      <c r="C318" s="66"/>
      <c r="D318" s="56"/>
      <c r="E318" s="67"/>
      <c r="F318" s="67">
        <v>415</v>
      </c>
      <c r="G318" s="67">
        <v>0</v>
      </c>
      <c r="H318" s="42">
        <v>0</v>
      </c>
      <c r="I318" s="67">
        <v>415</v>
      </c>
      <c r="J318" s="67">
        <v>0</v>
      </c>
      <c r="K318" s="67">
        <v>0</v>
      </c>
    </row>
    <row r="319" spans="1:11" ht="15.75">
      <c r="A319" s="70"/>
      <c r="B319" s="162" t="s">
        <v>218</v>
      </c>
      <c r="C319" s="99"/>
      <c r="D319" s="100"/>
      <c r="E319" s="101"/>
      <c r="F319" s="101"/>
      <c r="G319" s="101"/>
      <c r="H319" s="101"/>
      <c r="I319" s="101"/>
      <c r="J319" s="101"/>
      <c r="K319" s="77"/>
    </row>
    <row r="320" spans="1:11" ht="30.75">
      <c r="A320" s="17"/>
      <c r="B320" s="64" t="s">
        <v>237</v>
      </c>
      <c r="C320" s="40">
        <v>180000</v>
      </c>
      <c r="D320" s="41">
        <v>0</v>
      </c>
      <c r="E320" s="42">
        <f>255000+55000</f>
        <v>310000</v>
      </c>
      <c r="F320" s="42">
        <f>255000+55000</f>
        <v>310000</v>
      </c>
      <c r="G320" s="42">
        <v>299416.27</v>
      </c>
      <c r="H320" s="42">
        <f>SUM(G320/F320)*100</f>
        <v>96.5858935483871</v>
      </c>
      <c r="I320" s="42">
        <v>299416.27</v>
      </c>
      <c r="J320" s="42">
        <v>0</v>
      </c>
      <c r="K320" s="42">
        <f>SUM(J320/I320)*100</f>
        <v>0</v>
      </c>
    </row>
    <row r="321" spans="1:11" ht="30">
      <c r="A321" s="17"/>
      <c r="B321" s="97" t="s">
        <v>414</v>
      </c>
      <c r="C321" s="106"/>
      <c r="D321" s="95"/>
      <c r="E321" s="107">
        <v>49000</v>
      </c>
      <c r="F321" s="107">
        <v>49000</v>
      </c>
      <c r="G321" s="107">
        <v>0</v>
      </c>
      <c r="H321" s="42">
        <f>SUM(G321/F321)*100</f>
        <v>0</v>
      </c>
      <c r="I321" s="107">
        <v>9000</v>
      </c>
      <c r="J321" s="107">
        <f>500000-425000</f>
        <v>75000</v>
      </c>
      <c r="K321" s="42">
        <f>SUM(J321/I321)*100</f>
        <v>833.3333333333334</v>
      </c>
    </row>
    <row r="322" spans="1:11" ht="30">
      <c r="A322" s="59"/>
      <c r="B322" s="105" t="s">
        <v>412</v>
      </c>
      <c r="C322" s="106"/>
      <c r="D322" s="95"/>
      <c r="E322" s="107"/>
      <c r="F322" s="107">
        <v>0</v>
      </c>
      <c r="G322" s="107">
        <v>0</v>
      </c>
      <c r="H322" s="107">
        <v>0</v>
      </c>
      <c r="I322" s="107">
        <v>0</v>
      </c>
      <c r="J322" s="107">
        <v>230900</v>
      </c>
      <c r="K322" s="42">
        <v>0</v>
      </c>
    </row>
    <row r="323" spans="1:11" ht="16.5" thickBot="1">
      <c r="A323" s="43"/>
      <c r="B323" s="112"/>
      <c r="C323" s="113"/>
      <c r="D323" s="92"/>
      <c r="E323" s="115"/>
      <c r="F323" s="115"/>
      <c r="G323" s="115"/>
      <c r="H323" s="115"/>
      <c r="I323" s="115"/>
      <c r="J323" s="115"/>
      <c r="K323" s="230"/>
    </row>
    <row r="324" spans="1:11" ht="15.75">
      <c r="A324" s="2"/>
      <c r="B324" s="3"/>
      <c r="C324" s="4"/>
      <c r="D324" s="5"/>
      <c r="E324" s="4"/>
      <c r="F324" s="4"/>
      <c r="G324" s="4"/>
      <c r="H324" s="4"/>
      <c r="I324" s="4"/>
      <c r="J324" s="4"/>
      <c r="K324" s="243"/>
    </row>
    <row r="325" spans="1:11" ht="15.75">
      <c r="A325" s="6" t="s">
        <v>31</v>
      </c>
      <c r="B325" s="7" t="s">
        <v>0</v>
      </c>
      <c r="C325" s="8" t="s">
        <v>167</v>
      </c>
      <c r="D325" s="8" t="s">
        <v>30</v>
      </c>
      <c r="E325" s="8" t="s">
        <v>234</v>
      </c>
      <c r="F325" s="8" t="s">
        <v>234</v>
      </c>
      <c r="G325" s="8" t="s">
        <v>251</v>
      </c>
      <c r="H325" s="8" t="s">
        <v>30</v>
      </c>
      <c r="I325" s="8" t="s">
        <v>297</v>
      </c>
      <c r="J325" s="8" t="s">
        <v>300</v>
      </c>
      <c r="K325" s="244" t="s">
        <v>30</v>
      </c>
    </row>
    <row r="326" spans="1:11" ht="15.75">
      <c r="A326" s="6" t="s">
        <v>33</v>
      </c>
      <c r="B326" s="9"/>
      <c r="C326" s="8" t="s">
        <v>166</v>
      </c>
      <c r="D326" s="10" t="s">
        <v>12</v>
      </c>
      <c r="E326" s="8" t="s">
        <v>250</v>
      </c>
      <c r="F326" s="8" t="s">
        <v>296</v>
      </c>
      <c r="G326" s="8" t="s">
        <v>296</v>
      </c>
      <c r="H326" s="8" t="s">
        <v>12</v>
      </c>
      <c r="I326" s="8" t="s">
        <v>298</v>
      </c>
      <c r="J326" s="8" t="s">
        <v>301</v>
      </c>
      <c r="K326" s="244" t="s">
        <v>12</v>
      </c>
    </row>
    <row r="327" spans="1:11" ht="16.5" thickBot="1">
      <c r="A327" s="11"/>
      <c r="B327" s="12"/>
      <c r="C327" s="13"/>
      <c r="D327" s="13"/>
      <c r="E327" s="13" t="s">
        <v>233</v>
      </c>
      <c r="F327" s="13" t="s">
        <v>233</v>
      </c>
      <c r="G327" s="13" t="s">
        <v>233</v>
      </c>
      <c r="H327" s="13"/>
      <c r="I327" s="13" t="s">
        <v>299</v>
      </c>
      <c r="J327" s="13" t="s">
        <v>233</v>
      </c>
      <c r="K327" s="245"/>
    </row>
    <row r="328" spans="1:11" ht="12.75" customHeight="1">
      <c r="A328" s="47"/>
      <c r="B328" s="47"/>
      <c r="C328" s="48"/>
      <c r="D328" s="56"/>
      <c r="E328" s="50"/>
      <c r="F328" s="50"/>
      <c r="G328" s="50"/>
      <c r="H328" s="50"/>
      <c r="I328" s="50"/>
      <c r="J328" s="50"/>
      <c r="K328" s="229"/>
    </row>
    <row r="329" spans="1:11" ht="15.75">
      <c r="A329" s="58">
        <v>80104</v>
      </c>
      <c r="B329" s="59" t="s">
        <v>60</v>
      </c>
      <c r="C329" s="32">
        <f>SUM(C331:C351)</f>
        <v>60180</v>
      </c>
      <c r="D329" s="60" t="e">
        <f>(C329/#REF!)*100</f>
        <v>#REF!</v>
      </c>
      <c r="E329" s="34">
        <f>SUM(E331,E337,E354)</f>
        <v>11429415</v>
      </c>
      <c r="F329" s="34">
        <f>SUM(F331,F337,F354)</f>
        <v>10901634</v>
      </c>
      <c r="G329" s="34">
        <f>SUM(G331,G337,G354)</f>
        <v>7786795.219999999</v>
      </c>
      <c r="H329" s="34">
        <f>SUM(G329/F329)*100</f>
        <v>71.4277806427917</v>
      </c>
      <c r="I329" s="34">
        <f>SUM(I331,I337,I354)</f>
        <v>10630608.57</v>
      </c>
      <c r="J329" s="34">
        <f>SUM(J331,J337,J354)</f>
        <v>13336397</v>
      </c>
      <c r="K329" s="34">
        <f>SUM(J329/I329)*100</f>
        <v>125.45280838987753</v>
      </c>
    </row>
    <row r="330" spans="1:11" ht="12.75" customHeight="1">
      <c r="A330" s="17"/>
      <c r="B330" s="70"/>
      <c r="C330" s="55"/>
      <c r="D330" s="56"/>
      <c r="E330" s="57"/>
      <c r="F330" s="57"/>
      <c r="G330" s="57"/>
      <c r="H330" s="57"/>
      <c r="I330" s="57"/>
      <c r="J330" s="57"/>
      <c r="K330" s="193"/>
    </row>
    <row r="331" spans="1:11" ht="15.75">
      <c r="A331" s="17"/>
      <c r="B331" s="70" t="s">
        <v>190</v>
      </c>
      <c r="C331" s="35"/>
      <c r="D331" s="56"/>
      <c r="E331" s="37">
        <f>9909481-12000-10560+21064</f>
        <v>9907985</v>
      </c>
      <c r="F331" s="37">
        <v>10125839</v>
      </c>
      <c r="G331" s="37">
        <v>7524245.27</v>
      </c>
      <c r="H331" s="37">
        <f>SUM(G331/F331)*100</f>
        <v>74.30737610977222</v>
      </c>
      <c r="I331" s="37">
        <v>10125839</v>
      </c>
      <c r="J331" s="37">
        <f>10766691-30000-152000-60000+7356</f>
        <v>10532047</v>
      </c>
      <c r="K331" s="89">
        <f>SUM(J331/I331)*100</f>
        <v>104.01159844631147</v>
      </c>
    </row>
    <row r="332" spans="1:11" ht="15.75">
      <c r="A332" s="17"/>
      <c r="B332" s="70" t="s">
        <v>133</v>
      </c>
      <c r="C332" s="35"/>
      <c r="D332" s="56"/>
      <c r="E332" s="37"/>
      <c r="F332" s="37"/>
      <c r="G332" s="37"/>
      <c r="H332" s="37"/>
      <c r="I332" s="37"/>
      <c r="J332" s="37"/>
      <c r="K332" s="193"/>
    </row>
    <row r="333" spans="1:11" ht="15.75">
      <c r="A333" s="17"/>
      <c r="B333" s="91" t="s">
        <v>94</v>
      </c>
      <c r="C333" s="40"/>
      <c r="D333" s="41"/>
      <c r="E333" s="42">
        <f>7834820+21064</f>
        <v>7855884</v>
      </c>
      <c r="F333" s="42">
        <v>7896978</v>
      </c>
      <c r="G333" s="42">
        <v>5814436.93</v>
      </c>
      <c r="H333" s="42">
        <f>SUM(G333/F333)*100</f>
        <v>73.62863275040148</v>
      </c>
      <c r="I333" s="42">
        <v>7826000</v>
      </c>
      <c r="J333" s="42">
        <f>8268333+204644-152000-60000+7356</f>
        <v>8268333</v>
      </c>
      <c r="K333" s="42">
        <f>SUM(J333/I333)*100</f>
        <v>105.65209557883976</v>
      </c>
    </row>
    <row r="334" spans="1:11" ht="15.75">
      <c r="A334" s="17"/>
      <c r="B334" s="91" t="s">
        <v>191</v>
      </c>
      <c r="C334" s="40"/>
      <c r="D334" s="41"/>
      <c r="E334" s="42">
        <v>12000</v>
      </c>
      <c r="F334" s="42">
        <v>12000</v>
      </c>
      <c r="G334" s="134">
        <v>5492.7</v>
      </c>
      <c r="H334" s="134">
        <f>SUM(G334/F334)*100</f>
        <v>45.7725</v>
      </c>
      <c r="I334" s="134">
        <v>12000</v>
      </c>
      <c r="J334" s="134">
        <f>16000-4000</f>
        <v>12000</v>
      </c>
      <c r="K334" s="42">
        <f>SUM(J334/I334)*100</f>
        <v>100</v>
      </c>
    </row>
    <row r="335" spans="1:11" ht="15.75">
      <c r="A335" s="17"/>
      <c r="B335" s="91" t="s">
        <v>193</v>
      </c>
      <c r="C335" s="40"/>
      <c r="D335" s="41"/>
      <c r="E335" s="42">
        <v>10560</v>
      </c>
      <c r="F335" s="42">
        <v>10560</v>
      </c>
      <c r="G335" s="134">
        <v>6130</v>
      </c>
      <c r="H335" s="134">
        <f>SUM(G335/F335)*100</f>
        <v>58.04924242424242</v>
      </c>
      <c r="I335" s="134">
        <v>10560</v>
      </c>
      <c r="J335" s="134">
        <v>0</v>
      </c>
      <c r="K335" s="42">
        <f>SUM(J335/I335)*100</f>
        <v>0</v>
      </c>
    </row>
    <row r="336" spans="1:11" ht="15.75">
      <c r="A336" s="17"/>
      <c r="B336" s="70"/>
      <c r="C336" s="35"/>
      <c r="D336" s="56"/>
      <c r="E336" s="37"/>
      <c r="F336" s="37"/>
      <c r="G336" s="37"/>
      <c r="H336" s="37"/>
      <c r="I336" s="37"/>
      <c r="J336" s="37"/>
      <c r="K336" s="193"/>
    </row>
    <row r="337" spans="1:11" ht="15.75">
      <c r="A337" s="17"/>
      <c r="B337" s="70" t="s">
        <v>101</v>
      </c>
      <c r="C337" s="35"/>
      <c r="D337" s="56"/>
      <c r="E337" s="37">
        <f>SUM(E339:E351)</f>
        <v>153430</v>
      </c>
      <c r="F337" s="37">
        <f>SUM(F339:F352)</f>
        <v>112295</v>
      </c>
      <c r="G337" s="37">
        <f>SUM(G339:G352)</f>
        <v>55138.56</v>
      </c>
      <c r="H337" s="37">
        <f>SUM(G337/F337)*100</f>
        <v>49.10152722739213</v>
      </c>
      <c r="I337" s="37">
        <f>SUM(I339:I352)</f>
        <v>72375.68</v>
      </c>
      <c r="J337" s="37">
        <f>SUM(J339:J352)</f>
        <v>543950</v>
      </c>
      <c r="K337" s="89">
        <f>SUM(J337/I337)*100</f>
        <v>751.5646139697756</v>
      </c>
    </row>
    <row r="338" spans="1:11" ht="15.75">
      <c r="A338" s="17"/>
      <c r="B338" s="70" t="s">
        <v>4</v>
      </c>
      <c r="C338" s="35"/>
      <c r="D338" s="56"/>
      <c r="E338" s="37"/>
      <c r="F338" s="37"/>
      <c r="G338" s="57"/>
      <c r="H338" s="57"/>
      <c r="I338" s="57"/>
      <c r="J338" s="57"/>
      <c r="K338" s="193"/>
    </row>
    <row r="339" spans="1:11" ht="30.75">
      <c r="A339" s="17"/>
      <c r="B339" s="64" t="s">
        <v>351</v>
      </c>
      <c r="C339" s="40">
        <v>20000</v>
      </c>
      <c r="D339" s="95" t="e">
        <f>(C339/#REF!)*100</f>
        <v>#REF!</v>
      </c>
      <c r="E339" s="42">
        <v>45000</v>
      </c>
      <c r="F339" s="42">
        <v>2401</v>
      </c>
      <c r="G339" s="134">
        <v>0</v>
      </c>
      <c r="H339" s="134">
        <f aca="true" t="shared" si="3" ref="H339:H351">SUM(G339/F339)*100</f>
        <v>0</v>
      </c>
      <c r="I339" s="134">
        <v>0</v>
      </c>
      <c r="J339" s="134">
        <f>122500-10000-50000</f>
        <v>62500</v>
      </c>
      <c r="K339" s="42">
        <v>0</v>
      </c>
    </row>
    <row r="340" spans="1:11" ht="45.75">
      <c r="A340" s="17"/>
      <c r="B340" s="64" t="s">
        <v>339</v>
      </c>
      <c r="C340" s="40">
        <v>0</v>
      </c>
      <c r="D340" s="95"/>
      <c r="E340" s="42">
        <v>9300</v>
      </c>
      <c r="F340" s="42">
        <v>9300</v>
      </c>
      <c r="G340" s="134">
        <v>6720</v>
      </c>
      <c r="H340" s="134">
        <f t="shared" si="3"/>
        <v>72.25806451612902</v>
      </c>
      <c r="I340" s="134">
        <v>9300</v>
      </c>
      <c r="J340" s="134">
        <v>10000</v>
      </c>
      <c r="K340" s="42">
        <f>SUM(J340/I340)*100</f>
        <v>107.5268817204301</v>
      </c>
    </row>
    <row r="341" spans="1:11" ht="45.75">
      <c r="A341" s="17"/>
      <c r="B341" s="64" t="s">
        <v>340</v>
      </c>
      <c r="C341" s="106"/>
      <c r="D341" s="95"/>
      <c r="E341" s="107">
        <v>2800</v>
      </c>
      <c r="F341" s="107">
        <v>2800</v>
      </c>
      <c r="G341" s="251">
        <v>0</v>
      </c>
      <c r="H341" s="134">
        <f t="shared" si="3"/>
        <v>0</v>
      </c>
      <c r="I341" s="251">
        <v>0</v>
      </c>
      <c r="J341" s="251">
        <v>0</v>
      </c>
      <c r="K341" s="42">
        <v>0</v>
      </c>
    </row>
    <row r="342" spans="1:11" ht="61.5" customHeight="1">
      <c r="A342" s="17"/>
      <c r="B342" s="125" t="s">
        <v>341</v>
      </c>
      <c r="C342" s="106">
        <v>500</v>
      </c>
      <c r="D342" s="95">
        <v>0</v>
      </c>
      <c r="E342" s="107">
        <v>750</v>
      </c>
      <c r="F342" s="107">
        <v>750</v>
      </c>
      <c r="G342" s="251">
        <v>75</v>
      </c>
      <c r="H342" s="134">
        <f t="shared" si="3"/>
        <v>10</v>
      </c>
      <c r="I342" s="251">
        <v>750</v>
      </c>
      <c r="J342" s="251">
        <v>750</v>
      </c>
      <c r="K342" s="42">
        <f>SUM(J342/I342)*100</f>
        <v>100</v>
      </c>
    </row>
    <row r="343" spans="1:11" ht="30.75">
      <c r="A343" s="17"/>
      <c r="B343" s="125" t="s">
        <v>338</v>
      </c>
      <c r="C343" s="106"/>
      <c r="D343" s="95"/>
      <c r="E343" s="107">
        <v>4000</v>
      </c>
      <c r="F343" s="107">
        <v>5464</v>
      </c>
      <c r="G343" s="251">
        <v>0</v>
      </c>
      <c r="H343" s="134">
        <f t="shared" si="3"/>
        <v>0</v>
      </c>
      <c r="I343" s="251">
        <v>0</v>
      </c>
      <c r="J343" s="251">
        <v>6000</v>
      </c>
      <c r="K343" s="42">
        <v>0</v>
      </c>
    </row>
    <row r="344" spans="1:11" ht="30.75">
      <c r="A344" s="17"/>
      <c r="B344" s="125" t="s">
        <v>346</v>
      </c>
      <c r="C344" s="106"/>
      <c r="D344" s="95"/>
      <c r="E344" s="107"/>
      <c r="F344" s="107">
        <v>0</v>
      </c>
      <c r="G344" s="251">
        <v>0</v>
      </c>
      <c r="H344" s="134">
        <v>0</v>
      </c>
      <c r="I344" s="251">
        <v>0</v>
      </c>
      <c r="J344" s="251">
        <v>221500</v>
      </c>
      <c r="K344" s="42">
        <v>0</v>
      </c>
    </row>
    <row r="345" spans="1:11" ht="30" customHeight="1">
      <c r="A345" s="17"/>
      <c r="B345" s="125" t="s">
        <v>195</v>
      </c>
      <c r="C345" s="106"/>
      <c r="D345" s="95"/>
      <c r="E345" s="107">
        <v>50000</v>
      </c>
      <c r="F345" s="107">
        <v>42500</v>
      </c>
      <c r="G345" s="251">
        <v>13245.68</v>
      </c>
      <c r="H345" s="134">
        <f t="shared" si="3"/>
        <v>31.16630588235294</v>
      </c>
      <c r="I345" s="251">
        <v>13245.68</v>
      </c>
      <c r="J345" s="251">
        <f>50000-30000</f>
        <v>20000</v>
      </c>
      <c r="K345" s="42">
        <f>SUM(J345/I345)*100</f>
        <v>150.99262552016958</v>
      </c>
    </row>
    <row r="346" spans="1:11" ht="15.75">
      <c r="A346" s="17"/>
      <c r="B346" s="162" t="s">
        <v>336</v>
      </c>
      <c r="C346" s="99"/>
      <c r="D346" s="100"/>
      <c r="E346" s="101"/>
      <c r="F346" s="101"/>
      <c r="G346" s="254"/>
      <c r="H346" s="254"/>
      <c r="I346" s="255"/>
      <c r="J346" s="254"/>
      <c r="K346" s="101"/>
    </row>
    <row r="347" spans="1:11" ht="30.75">
      <c r="A347" s="17"/>
      <c r="B347" s="64" t="s">
        <v>406</v>
      </c>
      <c r="C347" s="40"/>
      <c r="D347" s="41"/>
      <c r="E347" s="42"/>
      <c r="F347" s="42">
        <v>7500</v>
      </c>
      <c r="G347" s="134">
        <v>7500</v>
      </c>
      <c r="H347" s="134">
        <f t="shared" si="3"/>
        <v>100</v>
      </c>
      <c r="I347" s="134">
        <v>7500</v>
      </c>
      <c r="J347" s="134">
        <f>750000-700000</f>
        <v>50000</v>
      </c>
      <c r="K347" s="42">
        <f>SUM(J347/I347)*100</f>
        <v>666.6666666666667</v>
      </c>
    </row>
    <row r="348" spans="1:11" ht="15.75">
      <c r="A348" s="17"/>
      <c r="B348" s="162" t="s">
        <v>347</v>
      </c>
      <c r="C348" s="66"/>
      <c r="D348" s="56"/>
      <c r="E348" s="67"/>
      <c r="F348" s="67"/>
      <c r="G348" s="49"/>
      <c r="H348" s="49"/>
      <c r="I348" s="49"/>
      <c r="J348" s="49"/>
      <c r="K348" s="67"/>
    </row>
    <row r="349" spans="1:11" ht="30.75">
      <c r="A349" s="17"/>
      <c r="B349" s="64" t="s">
        <v>348</v>
      </c>
      <c r="C349" s="40"/>
      <c r="D349" s="41"/>
      <c r="E349" s="42"/>
      <c r="F349" s="42">
        <v>0</v>
      </c>
      <c r="G349" s="42">
        <v>0</v>
      </c>
      <c r="H349" s="42">
        <v>0</v>
      </c>
      <c r="I349" s="42">
        <v>0</v>
      </c>
      <c r="J349" s="42">
        <f>50000-20000</f>
        <v>30000</v>
      </c>
      <c r="K349" s="42">
        <v>0</v>
      </c>
    </row>
    <row r="350" spans="1:11" ht="15.75">
      <c r="A350" s="17"/>
      <c r="B350" s="88" t="s">
        <v>337</v>
      </c>
      <c r="C350" s="78"/>
      <c r="D350" s="56"/>
      <c r="E350" s="120"/>
      <c r="F350" s="120"/>
      <c r="G350" s="131"/>
      <c r="H350" s="49"/>
      <c r="I350" s="131"/>
      <c r="J350" s="131"/>
      <c r="K350" s="101"/>
    </row>
    <row r="351" spans="1:11" ht="15.75">
      <c r="A351" s="17"/>
      <c r="B351" s="64" t="s">
        <v>194</v>
      </c>
      <c r="C351" s="40">
        <v>39680</v>
      </c>
      <c r="D351" s="41" t="e">
        <f>(C351/#REF!)*100</f>
        <v>#REF!</v>
      </c>
      <c r="E351" s="42">
        <v>41580</v>
      </c>
      <c r="F351" s="42">
        <v>41580</v>
      </c>
      <c r="G351" s="134">
        <v>27597.88</v>
      </c>
      <c r="H351" s="134">
        <f t="shared" si="3"/>
        <v>66.37296777296777</v>
      </c>
      <c r="I351" s="134">
        <v>41580</v>
      </c>
      <c r="J351" s="134">
        <v>127200</v>
      </c>
      <c r="K351" s="42">
        <f>SUM(J351/I351)*100</f>
        <v>305.91630591630593</v>
      </c>
    </row>
    <row r="352" spans="1:11" ht="30.75">
      <c r="A352" s="17"/>
      <c r="B352" s="64" t="s">
        <v>350</v>
      </c>
      <c r="C352" s="40"/>
      <c r="D352" s="41"/>
      <c r="E352" s="42"/>
      <c r="F352" s="42">
        <v>0</v>
      </c>
      <c r="G352" s="42">
        <v>0</v>
      </c>
      <c r="H352" s="42">
        <v>0</v>
      </c>
      <c r="I352" s="42">
        <v>0</v>
      </c>
      <c r="J352" s="42">
        <f>46000-10000-20000</f>
        <v>16000</v>
      </c>
      <c r="K352" s="42">
        <v>0</v>
      </c>
    </row>
    <row r="353" spans="1:11" ht="15.75">
      <c r="A353" s="17"/>
      <c r="B353" s="162"/>
      <c r="C353" s="61"/>
      <c r="D353" s="95"/>
      <c r="E353" s="62"/>
      <c r="F353" s="62"/>
      <c r="G353" s="62"/>
      <c r="H353" s="62"/>
      <c r="I353" s="62"/>
      <c r="J353" s="62"/>
      <c r="K353" s="229"/>
    </row>
    <row r="354" spans="1:11" ht="15.75">
      <c r="A354" s="17"/>
      <c r="B354" s="88" t="s">
        <v>192</v>
      </c>
      <c r="C354" s="35"/>
      <c r="D354" s="41"/>
      <c r="E354" s="37">
        <f>SUM(E358:E366)</f>
        <v>1368000</v>
      </c>
      <c r="F354" s="37">
        <f>SUM(F358:F366)</f>
        <v>663500</v>
      </c>
      <c r="G354" s="37">
        <f>SUM(G358:G366)</f>
        <v>207411.39</v>
      </c>
      <c r="H354" s="37">
        <f>SUM(G354/F354)*100</f>
        <v>31.260194423511685</v>
      </c>
      <c r="I354" s="37">
        <f>SUM(I358:I366)</f>
        <v>432393.89</v>
      </c>
      <c r="J354" s="37">
        <f>SUM(J358:J366)</f>
        <v>2260400</v>
      </c>
      <c r="K354" s="89">
        <f>SUM(J354/I354)*100</f>
        <v>522.7640936369382</v>
      </c>
    </row>
    <row r="355" spans="1:11" ht="15.75">
      <c r="A355" s="17"/>
      <c r="B355" s="88" t="s">
        <v>4</v>
      </c>
      <c r="C355" s="35"/>
      <c r="D355" s="41"/>
      <c r="E355" s="37"/>
      <c r="F355" s="37"/>
      <c r="G355" s="37"/>
      <c r="H355" s="37"/>
      <c r="I355" s="37"/>
      <c r="J355" s="37"/>
      <c r="K355" s="193"/>
    </row>
    <row r="356" spans="1:11" ht="15.75">
      <c r="A356" s="17"/>
      <c r="B356" s="88"/>
      <c r="C356" s="35"/>
      <c r="D356" s="56"/>
      <c r="E356" s="37"/>
      <c r="F356" s="37"/>
      <c r="G356" s="37"/>
      <c r="H356" s="37"/>
      <c r="I356" s="37"/>
      <c r="J356" s="37"/>
      <c r="K356" s="193"/>
    </row>
    <row r="357" spans="1:11" ht="15.75">
      <c r="A357" s="17"/>
      <c r="B357" s="88" t="s">
        <v>269</v>
      </c>
      <c r="C357" s="48"/>
      <c r="D357" s="56"/>
      <c r="E357" s="57"/>
      <c r="F357" s="57"/>
      <c r="G357" s="57"/>
      <c r="H357" s="57"/>
      <c r="I357" s="57"/>
      <c r="J357" s="57"/>
      <c r="K357" s="193"/>
    </row>
    <row r="358" spans="1:11" ht="30.75">
      <c r="A358" s="17"/>
      <c r="B358" s="64" t="s">
        <v>217</v>
      </c>
      <c r="C358" s="40">
        <v>100000</v>
      </c>
      <c r="D358" s="41">
        <v>0</v>
      </c>
      <c r="E358" s="42">
        <v>185000</v>
      </c>
      <c r="F358" s="42">
        <v>185000</v>
      </c>
      <c r="G358" s="42">
        <v>179394.85</v>
      </c>
      <c r="H358" s="42">
        <f>SUM(G358/F358)*100</f>
        <v>96.9701891891892</v>
      </c>
      <c r="I358" s="42">
        <v>179394.85</v>
      </c>
      <c r="J358" s="42">
        <v>0</v>
      </c>
      <c r="K358" s="42">
        <f>SUM(J358/I358)*100</f>
        <v>0</v>
      </c>
    </row>
    <row r="359" spans="1:11" ht="30.75">
      <c r="A359" s="17"/>
      <c r="B359" s="65" t="s">
        <v>268</v>
      </c>
      <c r="C359" s="66"/>
      <c r="D359" s="56"/>
      <c r="E359" s="67">
        <v>0</v>
      </c>
      <c r="F359" s="67">
        <v>25000</v>
      </c>
      <c r="G359" s="67">
        <v>0</v>
      </c>
      <c r="H359" s="42">
        <f>SUM(G359/F359)*100</f>
        <v>0</v>
      </c>
      <c r="I359" s="67">
        <v>25000</v>
      </c>
      <c r="J359" s="67">
        <v>0</v>
      </c>
      <c r="K359" s="42">
        <f>SUM(J359/I359)*100</f>
        <v>0</v>
      </c>
    </row>
    <row r="360" spans="1:11" ht="15.75">
      <c r="A360" s="17"/>
      <c r="B360" s="162" t="s">
        <v>270</v>
      </c>
      <c r="C360" s="61"/>
      <c r="D360" s="100"/>
      <c r="E360" s="62"/>
      <c r="F360" s="62"/>
      <c r="G360" s="62"/>
      <c r="H360" s="62"/>
      <c r="I360" s="229"/>
      <c r="J360" s="62"/>
      <c r="K360" s="229"/>
    </row>
    <row r="361" spans="1:11" ht="15.75">
      <c r="A361" s="17"/>
      <c r="B361" s="64" t="s">
        <v>267</v>
      </c>
      <c r="C361" s="40"/>
      <c r="D361" s="41"/>
      <c r="E361" s="42">
        <v>8000</v>
      </c>
      <c r="F361" s="42">
        <v>22500</v>
      </c>
      <c r="G361" s="42">
        <v>21999.04</v>
      </c>
      <c r="H361" s="42">
        <f>SUM(G361/F361)*100</f>
        <v>97.7735111111111</v>
      </c>
      <c r="I361" s="42">
        <v>21999.04</v>
      </c>
      <c r="J361" s="42">
        <v>0</v>
      </c>
      <c r="K361" s="42">
        <f>SUM(J361/I361)*100</f>
        <v>0</v>
      </c>
    </row>
    <row r="362" spans="1:11" ht="15.75">
      <c r="A362" s="17"/>
      <c r="B362" s="162" t="s">
        <v>271</v>
      </c>
      <c r="C362" s="99"/>
      <c r="D362" s="100"/>
      <c r="E362" s="101"/>
      <c r="F362" s="101"/>
      <c r="G362" s="101"/>
      <c r="H362" s="101"/>
      <c r="I362" s="77"/>
      <c r="J362" s="101"/>
      <c r="K362" s="101"/>
    </row>
    <row r="363" spans="1:11" ht="45.75">
      <c r="A363" s="17"/>
      <c r="B363" s="64" t="s">
        <v>272</v>
      </c>
      <c r="C363" s="40"/>
      <c r="D363" s="41"/>
      <c r="E363" s="42">
        <v>0</v>
      </c>
      <c r="F363" s="42">
        <v>6000</v>
      </c>
      <c r="G363" s="42">
        <v>6000</v>
      </c>
      <c r="H363" s="42">
        <f>SUM(G363/F363)*100</f>
        <v>100</v>
      </c>
      <c r="I363" s="42">
        <v>6000</v>
      </c>
      <c r="J363" s="42">
        <v>0</v>
      </c>
      <c r="K363" s="42">
        <f>SUM(J363/I363)*100</f>
        <v>0</v>
      </c>
    </row>
    <row r="364" spans="1:11" ht="15.75">
      <c r="A364" s="17"/>
      <c r="B364" s="162" t="s">
        <v>347</v>
      </c>
      <c r="C364" s="99"/>
      <c r="D364" s="100"/>
      <c r="E364" s="101"/>
      <c r="F364" s="101"/>
      <c r="G364" s="101"/>
      <c r="H364" s="101"/>
      <c r="I364" s="77"/>
      <c r="J364" s="101"/>
      <c r="K364" s="101"/>
    </row>
    <row r="365" spans="1:11" ht="15.75">
      <c r="A365" s="17"/>
      <c r="B365" s="136" t="s">
        <v>349</v>
      </c>
      <c r="C365" s="40"/>
      <c r="D365" s="41"/>
      <c r="E365" s="42"/>
      <c r="F365" s="42">
        <v>0</v>
      </c>
      <c r="G365" s="42">
        <v>0</v>
      </c>
      <c r="H365" s="42">
        <v>0</v>
      </c>
      <c r="I365" s="42">
        <v>0</v>
      </c>
      <c r="J365" s="42">
        <v>10400</v>
      </c>
      <c r="K365" s="42">
        <v>0</v>
      </c>
    </row>
    <row r="366" spans="1:11" ht="36" customHeight="1">
      <c r="A366" s="59"/>
      <c r="B366" s="125" t="s">
        <v>196</v>
      </c>
      <c r="C366" s="106"/>
      <c r="D366" s="95"/>
      <c r="E366" s="107">
        <v>1175000</v>
      </c>
      <c r="F366" s="107">
        <v>425000</v>
      </c>
      <c r="G366" s="107">
        <v>17.5</v>
      </c>
      <c r="H366" s="42">
        <f>SUM(G366/F366)*100</f>
        <v>0.00411764705882353</v>
      </c>
      <c r="I366" s="107">
        <v>200000</v>
      </c>
      <c r="J366" s="107">
        <v>2250000</v>
      </c>
      <c r="K366" s="42">
        <f>SUM(J366/I366)*100</f>
        <v>1125</v>
      </c>
    </row>
    <row r="367" spans="1:11" ht="16.5" thickBot="1">
      <c r="A367" s="43"/>
      <c r="B367" s="143"/>
      <c r="C367" s="113"/>
      <c r="D367" s="114"/>
      <c r="E367" s="115"/>
      <c r="F367" s="115"/>
      <c r="G367" s="115"/>
      <c r="H367" s="115"/>
      <c r="I367" s="115"/>
      <c r="J367" s="115"/>
      <c r="K367" s="115"/>
    </row>
    <row r="368" spans="1:11" ht="15.75">
      <c r="A368" s="2"/>
      <c r="B368" s="3"/>
      <c r="C368" s="4"/>
      <c r="D368" s="5"/>
      <c r="E368" s="4"/>
      <c r="F368" s="4"/>
      <c r="G368" s="4"/>
      <c r="H368" s="4"/>
      <c r="I368" s="4"/>
      <c r="J368" s="4"/>
      <c r="K368" s="243"/>
    </row>
    <row r="369" spans="1:11" ht="15.75">
      <c r="A369" s="6" t="s">
        <v>31</v>
      </c>
      <c r="B369" s="7" t="s">
        <v>0</v>
      </c>
      <c r="C369" s="8" t="s">
        <v>167</v>
      </c>
      <c r="D369" s="8" t="s">
        <v>30</v>
      </c>
      <c r="E369" s="8" t="s">
        <v>234</v>
      </c>
      <c r="F369" s="8" t="s">
        <v>234</v>
      </c>
      <c r="G369" s="8" t="s">
        <v>251</v>
      </c>
      <c r="H369" s="8" t="s">
        <v>30</v>
      </c>
      <c r="I369" s="8" t="s">
        <v>297</v>
      </c>
      <c r="J369" s="8" t="s">
        <v>300</v>
      </c>
      <c r="K369" s="244" t="s">
        <v>30</v>
      </c>
    </row>
    <row r="370" spans="1:11" ht="15.75">
      <c r="A370" s="6" t="s">
        <v>33</v>
      </c>
      <c r="B370" s="9"/>
      <c r="C370" s="8" t="s">
        <v>166</v>
      </c>
      <c r="D370" s="10" t="s">
        <v>12</v>
      </c>
      <c r="E370" s="8" t="s">
        <v>250</v>
      </c>
      <c r="F370" s="8" t="s">
        <v>296</v>
      </c>
      <c r="G370" s="8" t="s">
        <v>296</v>
      </c>
      <c r="H370" s="8" t="s">
        <v>12</v>
      </c>
      <c r="I370" s="8" t="s">
        <v>298</v>
      </c>
      <c r="J370" s="8" t="s">
        <v>301</v>
      </c>
      <c r="K370" s="244" t="s">
        <v>12</v>
      </c>
    </row>
    <row r="371" spans="1:11" ht="16.5" thickBot="1">
      <c r="A371" s="11"/>
      <c r="B371" s="12"/>
      <c r="C371" s="13"/>
      <c r="D371" s="13"/>
      <c r="E371" s="13" t="s">
        <v>233</v>
      </c>
      <c r="F371" s="13" t="s">
        <v>233</v>
      </c>
      <c r="G371" s="13" t="s">
        <v>233</v>
      </c>
      <c r="H371" s="13"/>
      <c r="I371" s="13" t="s">
        <v>299</v>
      </c>
      <c r="J371" s="13" t="s">
        <v>233</v>
      </c>
      <c r="K371" s="245"/>
    </row>
    <row r="372" spans="1:11" ht="12.75" customHeight="1">
      <c r="A372" s="47"/>
      <c r="B372" s="84"/>
      <c r="C372" s="48"/>
      <c r="D372" s="56"/>
      <c r="E372" s="50"/>
      <c r="F372" s="50"/>
      <c r="G372" s="50"/>
      <c r="H372" s="50"/>
      <c r="I372" s="50"/>
      <c r="J372" s="50"/>
      <c r="K372" s="229"/>
    </row>
    <row r="373" spans="1:11" ht="15.75">
      <c r="A373" s="58">
        <v>80110</v>
      </c>
      <c r="B373" s="59" t="s">
        <v>61</v>
      </c>
      <c r="C373" s="32">
        <f>SUM(C375,C384,C397)</f>
        <v>7823661</v>
      </c>
      <c r="D373" s="33" t="e">
        <f>(C373/#REF!)*100</f>
        <v>#REF!</v>
      </c>
      <c r="E373" s="34">
        <f>SUM(E375,E384,E397)</f>
        <v>10011959</v>
      </c>
      <c r="F373" s="34">
        <f>SUM(F375,F384,F397)</f>
        <v>9936049</v>
      </c>
      <c r="G373" s="34">
        <f>SUM(G375,G384,G397)</f>
        <v>6771756.17</v>
      </c>
      <c r="H373" s="34">
        <f>SUM(G373/F373)*100</f>
        <v>68.15340956953816</v>
      </c>
      <c r="I373" s="34">
        <f>SUM(I375,I384,I397)</f>
        <v>9641356.2</v>
      </c>
      <c r="J373" s="34">
        <f>SUM(J375,J384,J397)</f>
        <v>10686237</v>
      </c>
      <c r="K373" s="34">
        <f>SUM(J373/I373)*100</f>
        <v>110.83748777998682</v>
      </c>
    </row>
    <row r="374" spans="1:11" ht="12.75" customHeight="1">
      <c r="A374" s="17"/>
      <c r="B374" s="17"/>
      <c r="C374" s="61"/>
      <c r="D374" s="94"/>
      <c r="E374" s="62"/>
      <c r="F374" s="62"/>
      <c r="G374" s="62"/>
      <c r="H374" s="62"/>
      <c r="I374" s="62"/>
      <c r="J374" s="62"/>
      <c r="K374" s="229"/>
    </row>
    <row r="375" spans="1:11" ht="15.75">
      <c r="A375" s="17"/>
      <c r="B375" s="102" t="s">
        <v>100</v>
      </c>
      <c r="C375" s="35">
        <f>7483177+139356+6000</f>
        <v>7628533</v>
      </c>
      <c r="D375" s="94" t="e">
        <f>(C375/#REF!)*100</f>
        <v>#REF!</v>
      </c>
      <c r="E375" s="37">
        <f>8111630+155845-39000</f>
        <v>8228475</v>
      </c>
      <c r="F375" s="37">
        <v>8436528</v>
      </c>
      <c r="G375" s="37">
        <v>6137033.15</v>
      </c>
      <c r="H375" s="37">
        <f>SUM(G375/F375)*100</f>
        <v>72.74358776501424</v>
      </c>
      <c r="I375" s="37">
        <v>8436528</v>
      </c>
      <c r="J375" s="37">
        <f>8348344+10230+339331-50000-54000</f>
        <v>8593905</v>
      </c>
      <c r="K375" s="89">
        <f>SUM(J375/I375)*100</f>
        <v>101.865423785709</v>
      </c>
    </row>
    <row r="376" spans="1:11" ht="15.75">
      <c r="A376" s="17"/>
      <c r="B376" s="104" t="s">
        <v>130</v>
      </c>
      <c r="C376" s="35"/>
      <c r="D376" s="56"/>
      <c r="E376" s="37"/>
      <c r="F376" s="37"/>
      <c r="G376" s="37"/>
      <c r="H376" s="37"/>
      <c r="I376" s="37"/>
      <c r="J376" s="37"/>
      <c r="K376" s="193"/>
    </row>
    <row r="377" spans="1:11" ht="18.75" customHeight="1">
      <c r="A377" s="17"/>
      <c r="B377" s="38" t="s">
        <v>95</v>
      </c>
      <c r="C377" s="40">
        <f>6346499+139356</f>
        <v>6485855</v>
      </c>
      <c r="D377" s="41" t="e">
        <f>(C377/#REF!)*100</f>
        <v>#REF!</v>
      </c>
      <c r="E377" s="42">
        <f>6813167+155845</f>
        <v>6969012</v>
      </c>
      <c r="F377" s="42">
        <v>7049778</v>
      </c>
      <c r="G377" s="42">
        <v>5103836.2</v>
      </c>
      <c r="H377" s="42">
        <f aca="true" t="shared" si="4" ref="H377:H382">SUM(G377/F377)*100</f>
        <v>72.39711945539278</v>
      </c>
      <c r="I377" s="42">
        <v>6899778</v>
      </c>
      <c r="J377" s="42">
        <f>6983251+339331-54000</f>
        <v>7268582</v>
      </c>
      <c r="K377" s="42">
        <f>SUM(J377/I377)*100</f>
        <v>105.3451574818784</v>
      </c>
    </row>
    <row r="378" spans="1:11" ht="18.75" customHeight="1">
      <c r="A378" s="17"/>
      <c r="B378" s="38" t="s">
        <v>63</v>
      </c>
      <c r="C378" s="40">
        <v>39000</v>
      </c>
      <c r="D378" s="41" t="e">
        <f>(C378/#REF!)*100</f>
        <v>#REF!</v>
      </c>
      <c r="E378" s="42">
        <v>39000</v>
      </c>
      <c r="F378" s="42">
        <v>44000</v>
      </c>
      <c r="G378" s="42">
        <v>21518.2</v>
      </c>
      <c r="H378" s="42">
        <f t="shared" si="4"/>
        <v>48.905</v>
      </c>
      <c r="I378" s="42">
        <v>44000</v>
      </c>
      <c r="J378" s="42">
        <f>40000+4000</f>
        <v>44000</v>
      </c>
      <c r="K378" s="42">
        <f>SUM(J378/I378)*100</f>
        <v>100</v>
      </c>
    </row>
    <row r="379" spans="1:11" ht="30.75">
      <c r="A379" s="17"/>
      <c r="B379" s="64" t="s">
        <v>356</v>
      </c>
      <c r="C379" s="40">
        <v>3378</v>
      </c>
      <c r="D379" s="41" t="e">
        <f>(C379/#REF!)*100</f>
        <v>#REF!</v>
      </c>
      <c r="E379" s="42">
        <v>3734</v>
      </c>
      <c r="F379" s="42">
        <v>3734</v>
      </c>
      <c r="G379" s="42">
        <v>3734</v>
      </c>
      <c r="H379" s="42">
        <f t="shared" si="4"/>
        <v>100</v>
      </c>
      <c r="I379" s="42">
        <v>3734</v>
      </c>
      <c r="J379" s="42">
        <v>4008</v>
      </c>
      <c r="K379" s="42">
        <f>SUM(J379/I379)*100</f>
        <v>107.33797536154259</v>
      </c>
    </row>
    <row r="380" spans="1:11" ht="30.75">
      <c r="A380" s="17"/>
      <c r="B380" s="64" t="s">
        <v>357</v>
      </c>
      <c r="C380" s="40">
        <v>3130</v>
      </c>
      <c r="D380" s="95" t="e">
        <f>(C380/#REF!)*100</f>
        <v>#REF!</v>
      </c>
      <c r="E380" s="42">
        <v>2968</v>
      </c>
      <c r="F380" s="42">
        <v>2968</v>
      </c>
      <c r="G380" s="42">
        <v>2968</v>
      </c>
      <c r="H380" s="42">
        <f t="shared" si="4"/>
        <v>100</v>
      </c>
      <c r="I380" s="42">
        <v>2968</v>
      </c>
      <c r="J380" s="42">
        <v>3586</v>
      </c>
      <c r="K380" s="42">
        <f>SUM(J380/I380)*100</f>
        <v>120.82210242587601</v>
      </c>
    </row>
    <row r="381" spans="1:11" ht="30.75">
      <c r="A381" s="17"/>
      <c r="B381" s="64" t="s">
        <v>358</v>
      </c>
      <c r="C381" s="40">
        <v>3038</v>
      </c>
      <c r="D381" s="95" t="e">
        <f>(C381/#REF!)*100</f>
        <v>#REF!</v>
      </c>
      <c r="E381" s="42">
        <v>2776</v>
      </c>
      <c r="F381" s="42">
        <v>2776</v>
      </c>
      <c r="G381" s="42">
        <v>2776</v>
      </c>
      <c r="H381" s="42">
        <f t="shared" si="4"/>
        <v>100</v>
      </c>
      <c r="I381" s="42">
        <v>2776</v>
      </c>
      <c r="J381" s="42">
        <v>2004</v>
      </c>
      <c r="K381" s="42">
        <f>SUM(J381/I381)*100</f>
        <v>72.19020172910663</v>
      </c>
    </row>
    <row r="382" spans="1:11" ht="30.75">
      <c r="A382" s="17"/>
      <c r="B382" s="125" t="s">
        <v>359</v>
      </c>
      <c r="C382" s="106">
        <v>744</v>
      </c>
      <c r="D382" s="95" t="e">
        <f>(C382/#REF!)*100</f>
        <v>#REF!</v>
      </c>
      <c r="E382" s="107">
        <v>622</v>
      </c>
      <c r="F382" s="107">
        <v>622</v>
      </c>
      <c r="G382" s="107">
        <v>622</v>
      </c>
      <c r="H382" s="42">
        <f t="shared" si="4"/>
        <v>100</v>
      </c>
      <c r="I382" s="107">
        <v>622</v>
      </c>
      <c r="J382" s="107">
        <v>632</v>
      </c>
      <c r="K382" s="42">
        <f>SUM(J382/I382)*100</f>
        <v>101.60771704180065</v>
      </c>
    </row>
    <row r="383" spans="1:11" ht="12.75" customHeight="1">
      <c r="A383" s="17"/>
      <c r="B383" s="17"/>
      <c r="C383" s="55"/>
      <c r="D383" s="56"/>
      <c r="E383" s="57"/>
      <c r="F383" s="57"/>
      <c r="G383" s="57"/>
      <c r="H383" s="57"/>
      <c r="I383" s="193"/>
      <c r="J383" s="193"/>
      <c r="K383" s="193"/>
    </row>
    <row r="384" spans="1:11" ht="15.75">
      <c r="A384" s="17"/>
      <c r="B384" s="104" t="s">
        <v>101</v>
      </c>
      <c r="C384" s="35">
        <f>SUM(C386:C391,C393:C393)</f>
        <v>25128</v>
      </c>
      <c r="D384" s="156" t="e">
        <f>(C384/#REF!)*100</f>
        <v>#REF!</v>
      </c>
      <c r="E384" s="37">
        <f>SUM(E386:E387,E388:E391,E392:E393)</f>
        <v>126484</v>
      </c>
      <c r="F384" s="37">
        <f>SUM(F386:F393)</f>
        <v>175521</v>
      </c>
      <c r="G384" s="37">
        <f>SUM(G386:G393)</f>
        <v>10201.64</v>
      </c>
      <c r="H384" s="37">
        <f>SUM(G384/F384)*100</f>
        <v>5.8122048074019625</v>
      </c>
      <c r="I384" s="37">
        <f>SUM(I386:I393)</f>
        <v>11324.32</v>
      </c>
      <c r="J384" s="37">
        <f>SUM(J386:J393)</f>
        <v>217332</v>
      </c>
      <c r="K384" s="89">
        <f>SUM(J384/I384)*100</f>
        <v>1919.1615920426127</v>
      </c>
    </row>
    <row r="385" spans="1:11" ht="15.75">
      <c r="A385" s="17"/>
      <c r="B385" s="104" t="s">
        <v>4</v>
      </c>
      <c r="C385" s="55"/>
      <c r="D385" s="56"/>
      <c r="E385" s="57"/>
      <c r="F385" s="57"/>
      <c r="G385" s="57"/>
      <c r="H385" s="57"/>
      <c r="I385" s="193"/>
      <c r="J385" s="193"/>
      <c r="K385" s="193"/>
    </row>
    <row r="386" spans="1:11" ht="30.75">
      <c r="A386" s="17"/>
      <c r="B386" s="64" t="s">
        <v>352</v>
      </c>
      <c r="C386" s="106">
        <v>15000</v>
      </c>
      <c r="D386" s="95" t="e">
        <f>(C386/#REF!)*100</f>
        <v>#REF!</v>
      </c>
      <c r="E386" s="107">
        <v>13000</v>
      </c>
      <c r="F386" s="42">
        <v>92471</v>
      </c>
      <c r="G386" s="42">
        <v>0</v>
      </c>
      <c r="H386" s="42">
        <f aca="true" t="shared" si="5" ref="H386:H392">SUM(G386/F386)*100</f>
        <v>0</v>
      </c>
      <c r="I386" s="42">
        <v>0</v>
      </c>
      <c r="J386" s="42">
        <f>141600-30000-50000</f>
        <v>61600</v>
      </c>
      <c r="K386" s="42">
        <v>0</v>
      </c>
    </row>
    <row r="387" spans="1:11" ht="15.75">
      <c r="A387" s="17"/>
      <c r="B387" s="65" t="s">
        <v>343</v>
      </c>
      <c r="C387" s="66">
        <v>6000</v>
      </c>
      <c r="D387" s="56" t="e">
        <f>(C387/#REF!)*100</f>
        <v>#REF!</v>
      </c>
      <c r="E387" s="67">
        <v>6000</v>
      </c>
      <c r="F387" s="67">
        <v>4300</v>
      </c>
      <c r="G387" s="67">
        <v>3927.32</v>
      </c>
      <c r="H387" s="42">
        <f t="shared" si="5"/>
        <v>91.33302325581396</v>
      </c>
      <c r="I387" s="67">
        <v>4300</v>
      </c>
      <c r="J387" s="67">
        <v>6000</v>
      </c>
      <c r="K387" s="42">
        <f>SUM(J387/I387)*100</f>
        <v>139.53488372093022</v>
      </c>
    </row>
    <row r="388" spans="1:11" ht="75.75">
      <c r="A388" s="17"/>
      <c r="B388" s="125" t="s">
        <v>353</v>
      </c>
      <c r="C388" s="106">
        <v>750</v>
      </c>
      <c r="D388" s="41">
        <v>0</v>
      </c>
      <c r="E388" s="107">
        <v>750</v>
      </c>
      <c r="F388" s="107">
        <v>750</v>
      </c>
      <c r="G388" s="107">
        <v>0</v>
      </c>
      <c r="H388" s="42">
        <f t="shared" si="5"/>
        <v>0</v>
      </c>
      <c r="I388" s="107">
        <v>750</v>
      </c>
      <c r="J388" s="107">
        <v>750</v>
      </c>
      <c r="K388" s="42">
        <f>SUM(J388/I388)*100</f>
        <v>100</v>
      </c>
    </row>
    <row r="389" spans="1:11" ht="30.75">
      <c r="A389" s="70"/>
      <c r="B389" s="126" t="s">
        <v>338</v>
      </c>
      <c r="C389" s="99"/>
      <c r="D389" s="100"/>
      <c r="E389" s="101">
        <v>15000</v>
      </c>
      <c r="F389" s="101">
        <v>15000</v>
      </c>
      <c r="G389" s="101">
        <v>0</v>
      </c>
      <c r="H389" s="42">
        <f t="shared" si="5"/>
        <v>0</v>
      </c>
      <c r="I389" s="101">
        <v>0</v>
      </c>
      <c r="J389" s="101">
        <f>17500-7500</f>
        <v>10000</v>
      </c>
      <c r="K389" s="42">
        <v>0</v>
      </c>
    </row>
    <row r="390" spans="1:11" ht="15.75">
      <c r="A390" s="70"/>
      <c r="B390" s="162" t="s">
        <v>142</v>
      </c>
      <c r="C390" s="99"/>
      <c r="D390" s="100"/>
      <c r="E390" s="101"/>
      <c r="F390" s="101"/>
      <c r="G390" s="77"/>
      <c r="H390" s="101"/>
      <c r="I390" s="77"/>
      <c r="J390" s="77"/>
      <c r="K390" s="77"/>
    </row>
    <row r="391" spans="1:11" ht="60.75">
      <c r="A391" s="70"/>
      <c r="B391" s="86" t="s">
        <v>355</v>
      </c>
      <c r="C391" s="40"/>
      <c r="D391" s="41"/>
      <c r="E391" s="42">
        <v>38000</v>
      </c>
      <c r="F391" s="42">
        <v>18000</v>
      </c>
      <c r="G391" s="42">
        <v>0</v>
      </c>
      <c r="H391" s="42">
        <f t="shared" si="5"/>
        <v>0</v>
      </c>
      <c r="I391" s="42">
        <v>0</v>
      </c>
      <c r="J391" s="42">
        <f>30451-12000-5000</f>
        <v>13451</v>
      </c>
      <c r="K391" s="42">
        <v>0</v>
      </c>
    </row>
    <row r="392" spans="1:11" ht="30.75">
      <c r="A392" s="17"/>
      <c r="B392" s="125" t="s">
        <v>197</v>
      </c>
      <c r="C392" s="106"/>
      <c r="D392" s="95"/>
      <c r="E392" s="107">
        <v>50000</v>
      </c>
      <c r="F392" s="107">
        <v>45000</v>
      </c>
      <c r="G392" s="107">
        <v>6274.32</v>
      </c>
      <c r="H392" s="42">
        <f t="shared" si="5"/>
        <v>13.942933333333333</v>
      </c>
      <c r="I392" s="107">
        <v>6274.32</v>
      </c>
      <c r="J392" s="107">
        <f>50000-20000-10000-5000</f>
        <v>15000</v>
      </c>
      <c r="K392" s="42">
        <f>SUM(J392/I392)*100</f>
        <v>239.06973185938875</v>
      </c>
    </row>
    <row r="393" spans="1:11" ht="15.75">
      <c r="A393" s="17"/>
      <c r="B393" s="126" t="s">
        <v>360</v>
      </c>
      <c r="C393" s="99">
        <v>3378</v>
      </c>
      <c r="D393" s="100" t="e">
        <f>(C393/#REF!)*100</f>
        <v>#REF!</v>
      </c>
      <c r="E393" s="101">
        <v>3734</v>
      </c>
      <c r="F393" s="101">
        <v>0</v>
      </c>
      <c r="G393" s="101">
        <v>0</v>
      </c>
      <c r="H393" s="101">
        <v>0</v>
      </c>
      <c r="I393" s="101">
        <v>0</v>
      </c>
      <c r="J393" s="101">
        <v>110531</v>
      </c>
      <c r="K393" s="101">
        <v>0</v>
      </c>
    </row>
    <row r="394" spans="1:11" ht="15.75">
      <c r="A394" s="17"/>
      <c r="B394" s="65" t="s">
        <v>133</v>
      </c>
      <c r="C394" s="66"/>
      <c r="D394" s="56"/>
      <c r="E394" s="67"/>
      <c r="F394" s="67"/>
      <c r="G394" s="67"/>
      <c r="H394" s="67"/>
      <c r="I394" s="67"/>
      <c r="J394" s="67"/>
      <c r="K394" s="67"/>
    </row>
    <row r="395" spans="1:11" ht="15.75">
      <c r="A395" s="17"/>
      <c r="B395" s="65" t="s">
        <v>361</v>
      </c>
      <c r="C395" s="66"/>
      <c r="D395" s="56"/>
      <c r="E395" s="67"/>
      <c r="F395" s="67">
        <v>0</v>
      </c>
      <c r="G395" s="67">
        <v>0</v>
      </c>
      <c r="H395" s="67">
        <v>0</v>
      </c>
      <c r="I395" s="67">
        <v>0</v>
      </c>
      <c r="J395" s="67">
        <v>41580</v>
      </c>
      <c r="K395" s="67">
        <v>0</v>
      </c>
    </row>
    <row r="396" spans="1:11" ht="15.75">
      <c r="A396" s="17"/>
      <c r="B396" s="84"/>
      <c r="C396" s="48"/>
      <c r="D396" s="56"/>
      <c r="E396" s="50"/>
      <c r="F396" s="50"/>
      <c r="G396" s="229"/>
      <c r="H396" s="50"/>
      <c r="I396" s="229"/>
      <c r="J396" s="229"/>
      <c r="K396" s="229"/>
    </row>
    <row r="397" spans="1:11" ht="15.75">
      <c r="A397" s="17"/>
      <c r="B397" s="88" t="s">
        <v>192</v>
      </c>
      <c r="C397" s="35">
        <f>SUM(C399:C399)</f>
        <v>170000</v>
      </c>
      <c r="D397" s="156" t="e">
        <f>(C397/#REF!)*100</f>
        <v>#REF!</v>
      </c>
      <c r="E397" s="37">
        <f>SUM(E399:E401)</f>
        <v>1657000</v>
      </c>
      <c r="F397" s="37">
        <f>SUM(F399:F402)</f>
        <v>1324000</v>
      </c>
      <c r="G397" s="89">
        <f>SUM(G399:G402)</f>
        <v>624521.38</v>
      </c>
      <c r="H397" s="89">
        <f>SUM(G397/F397)*100</f>
        <v>47.16928851963746</v>
      </c>
      <c r="I397" s="89">
        <f>SUM(I399:I402)</f>
        <v>1193503.88</v>
      </c>
      <c r="J397" s="89">
        <f>SUM(J399:J402)</f>
        <v>1875000</v>
      </c>
      <c r="K397" s="89">
        <f>SUM(J397/I397)*100</f>
        <v>157.100452828021</v>
      </c>
    </row>
    <row r="398" spans="1:11" ht="15.75">
      <c r="A398" s="17"/>
      <c r="B398" s="88" t="s">
        <v>4</v>
      </c>
      <c r="C398" s="35"/>
      <c r="D398" s="41"/>
      <c r="E398" s="37"/>
      <c r="F398" s="37"/>
      <c r="G398" s="193"/>
      <c r="H398" s="37"/>
      <c r="I398" s="193"/>
      <c r="J398" s="193"/>
      <c r="K398" s="193"/>
    </row>
    <row r="399" spans="1:11" ht="30.75" customHeight="1">
      <c r="A399" s="17"/>
      <c r="B399" s="64" t="s">
        <v>198</v>
      </c>
      <c r="C399" s="40">
        <v>170000</v>
      </c>
      <c r="D399" s="95">
        <v>0</v>
      </c>
      <c r="E399" s="42">
        <v>1048000</v>
      </c>
      <c r="F399" s="42">
        <v>650000</v>
      </c>
      <c r="G399" s="42">
        <v>17.5</v>
      </c>
      <c r="H399" s="42">
        <f>SUM(G399/F399)*100</f>
        <v>0.002692307692307692</v>
      </c>
      <c r="I399" s="42">
        <v>560000</v>
      </c>
      <c r="J399" s="42">
        <v>1800000</v>
      </c>
      <c r="K399" s="42">
        <f>SUM(J399/I399)*100</f>
        <v>321.42857142857144</v>
      </c>
    </row>
    <row r="400" spans="1:11" ht="30">
      <c r="A400" s="17"/>
      <c r="B400" s="97" t="s">
        <v>415</v>
      </c>
      <c r="C400" s="106"/>
      <c r="D400" s="95"/>
      <c r="E400" s="107">
        <v>49000</v>
      </c>
      <c r="F400" s="107">
        <v>49000</v>
      </c>
      <c r="G400" s="107">
        <v>0</v>
      </c>
      <c r="H400" s="42">
        <f>SUM(G400/F400)*100</f>
        <v>0</v>
      </c>
      <c r="I400" s="107">
        <v>9000</v>
      </c>
      <c r="J400" s="107">
        <f>500000-425000</f>
        <v>75000</v>
      </c>
      <c r="K400" s="42">
        <f>SUM(J400/I400)*100</f>
        <v>833.3333333333334</v>
      </c>
    </row>
    <row r="401" spans="1:11" ht="15.75">
      <c r="A401" s="17"/>
      <c r="B401" s="125" t="s">
        <v>215</v>
      </c>
      <c r="C401" s="106"/>
      <c r="D401" s="95"/>
      <c r="E401" s="107">
        <v>560000</v>
      </c>
      <c r="F401" s="107">
        <v>625000</v>
      </c>
      <c r="G401" s="107">
        <v>624503.88</v>
      </c>
      <c r="H401" s="42">
        <f>SUM(G401/F401)*100</f>
        <v>99.92062080000001</v>
      </c>
      <c r="I401" s="107">
        <v>624503.88</v>
      </c>
      <c r="J401" s="107">
        <v>0</v>
      </c>
      <c r="K401" s="42">
        <f>SUM(J401/I401)*100</f>
        <v>0</v>
      </c>
    </row>
    <row r="402" spans="1:11" ht="15.75">
      <c r="A402" s="59"/>
      <c r="B402" s="125" t="s">
        <v>354</v>
      </c>
      <c r="C402" s="106"/>
      <c r="D402" s="95"/>
      <c r="E402" s="107"/>
      <c r="F402" s="107">
        <v>0</v>
      </c>
      <c r="G402" s="107">
        <v>0</v>
      </c>
      <c r="H402" s="42">
        <v>0</v>
      </c>
      <c r="I402" s="107">
        <v>0</v>
      </c>
      <c r="J402" s="107">
        <v>0</v>
      </c>
      <c r="K402" s="42">
        <v>0</v>
      </c>
    </row>
    <row r="403" spans="1:11" ht="15.75">
      <c r="A403" s="17"/>
      <c r="B403" s="93"/>
      <c r="C403" s="55"/>
      <c r="D403" s="56"/>
      <c r="E403" s="57"/>
      <c r="F403" s="57"/>
      <c r="G403" s="57"/>
      <c r="H403" s="57"/>
      <c r="I403" s="57"/>
      <c r="J403" s="57"/>
      <c r="K403" s="193"/>
    </row>
    <row r="404" spans="1:11" s="163" customFormat="1" ht="15.75">
      <c r="A404" s="58">
        <v>80113</v>
      </c>
      <c r="B404" s="136" t="s">
        <v>107</v>
      </c>
      <c r="C404" s="32">
        <f>SUM(C406)</f>
        <v>42000</v>
      </c>
      <c r="D404" s="60" t="e">
        <f>(C404/#REF!)*100</f>
        <v>#REF!</v>
      </c>
      <c r="E404" s="34">
        <f>SUM(E406)</f>
        <v>45000</v>
      </c>
      <c r="F404" s="34">
        <f>SUM(F406)</f>
        <v>45700</v>
      </c>
      <c r="G404" s="34">
        <f>SUM(G406)</f>
        <v>24304</v>
      </c>
      <c r="H404" s="34">
        <f>SUM(G404/F404)*100</f>
        <v>53.18161925601751</v>
      </c>
      <c r="I404" s="34">
        <f>SUM(I406)</f>
        <v>45700</v>
      </c>
      <c r="J404" s="34">
        <f>SUM(J406)</f>
        <v>40000</v>
      </c>
      <c r="K404" s="34">
        <f>SUM(J404/I404)*100</f>
        <v>87.527352297593</v>
      </c>
    </row>
    <row r="405" spans="1:11" ht="15.75">
      <c r="A405" s="17"/>
      <c r="B405" s="93"/>
      <c r="C405" s="35"/>
      <c r="D405" s="56"/>
      <c r="E405" s="37"/>
      <c r="F405" s="37"/>
      <c r="G405" s="37"/>
      <c r="H405" s="37"/>
      <c r="I405" s="37"/>
      <c r="J405" s="37"/>
      <c r="K405" s="193"/>
    </row>
    <row r="406" spans="1:11" ht="30.75">
      <c r="A406" s="17"/>
      <c r="B406" s="64" t="s">
        <v>362</v>
      </c>
      <c r="C406" s="40">
        <v>42000</v>
      </c>
      <c r="D406" s="41" t="e">
        <f>(C406/#REF!)*100</f>
        <v>#REF!</v>
      </c>
      <c r="E406" s="42">
        <v>45000</v>
      </c>
      <c r="F406" s="42">
        <v>45700</v>
      </c>
      <c r="G406" s="42">
        <v>24304</v>
      </c>
      <c r="H406" s="42">
        <f>SUM(G406/F406)*100</f>
        <v>53.18161925601751</v>
      </c>
      <c r="I406" s="42">
        <v>45700</v>
      </c>
      <c r="J406" s="42">
        <f>52000-12000</f>
        <v>40000</v>
      </c>
      <c r="K406" s="42">
        <f>SUM(J406/I406)*100</f>
        <v>87.527352297593</v>
      </c>
    </row>
    <row r="407" spans="1:11" ht="12.75" customHeight="1">
      <c r="A407" s="17"/>
      <c r="B407" s="17"/>
      <c r="C407" s="55"/>
      <c r="D407" s="56"/>
      <c r="E407" s="57"/>
      <c r="F407" s="57"/>
      <c r="G407" s="57"/>
      <c r="H407" s="57"/>
      <c r="I407" s="57"/>
      <c r="J407" s="57"/>
      <c r="K407" s="193"/>
    </row>
    <row r="408" spans="1:11" ht="31.5">
      <c r="A408" s="58">
        <v>80114</v>
      </c>
      <c r="B408" s="96" t="s">
        <v>64</v>
      </c>
      <c r="C408" s="32">
        <f>SUM(C410)</f>
        <v>642383</v>
      </c>
      <c r="D408" s="33" t="e">
        <f>(C408/#REF!)*100</f>
        <v>#REF!</v>
      </c>
      <c r="E408" s="34">
        <f>SUM(E410)</f>
        <v>616810</v>
      </c>
      <c r="F408" s="34">
        <f>SUM(F410)</f>
        <v>656190</v>
      </c>
      <c r="G408" s="34">
        <f>SUM(G410)</f>
        <v>457987.02</v>
      </c>
      <c r="H408" s="34">
        <f>SUM(G408/F408)*100</f>
        <v>69.79487953184291</v>
      </c>
      <c r="I408" s="34">
        <f>SUM(I410)</f>
        <v>656190</v>
      </c>
      <c r="J408" s="34">
        <f>SUM(J410)</f>
        <v>777042</v>
      </c>
      <c r="K408" s="34">
        <f>SUM(J408/I408)*100</f>
        <v>118.41722671787134</v>
      </c>
    </row>
    <row r="409" spans="1:11" ht="15.75">
      <c r="A409" s="17"/>
      <c r="B409" s="17"/>
      <c r="C409" s="35"/>
      <c r="D409" s="94"/>
      <c r="E409" s="37"/>
      <c r="F409" s="37"/>
      <c r="G409" s="37"/>
      <c r="H409" s="37"/>
      <c r="I409" s="37"/>
      <c r="J409" s="37"/>
      <c r="K409" s="193"/>
    </row>
    <row r="410" spans="1:11" ht="15.75">
      <c r="A410" s="17"/>
      <c r="B410" s="63" t="s">
        <v>117</v>
      </c>
      <c r="C410" s="66">
        <f>SUM(C412:C413)</f>
        <v>642383</v>
      </c>
      <c r="D410" s="56" t="e">
        <f>(C410/#REF!)*100</f>
        <v>#REF!</v>
      </c>
      <c r="E410" s="67">
        <f>SUM(E412:E413)</f>
        <v>616810</v>
      </c>
      <c r="F410" s="67">
        <f>SUM(F412:F413)</f>
        <v>656190</v>
      </c>
      <c r="G410" s="67">
        <f>SUM(G412:G413)</f>
        <v>457987.02</v>
      </c>
      <c r="H410" s="67">
        <f>SUM(G410/F410)*100</f>
        <v>69.79487953184291</v>
      </c>
      <c r="I410" s="120">
        <f>SUM(I412:I413)</f>
        <v>656190</v>
      </c>
      <c r="J410" s="67">
        <f>SUM(J412:J413)</f>
        <v>777042</v>
      </c>
      <c r="K410" s="67">
        <f>SUM(J410/I410)*100</f>
        <v>118.41722671787134</v>
      </c>
    </row>
    <row r="411" spans="1:11" ht="15.75">
      <c r="A411" s="17"/>
      <c r="B411" s="63" t="s">
        <v>4</v>
      </c>
      <c r="C411" s="66"/>
      <c r="D411" s="56"/>
      <c r="E411" s="67"/>
      <c r="F411" s="67"/>
      <c r="G411" s="67"/>
      <c r="H411" s="67"/>
      <c r="I411" s="67"/>
      <c r="J411" s="67"/>
      <c r="K411" s="120"/>
    </row>
    <row r="412" spans="1:11" ht="15.75">
      <c r="A412" s="17"/>
      <c r="B412" s="65" t="s">
        <v>93</v>
      </c>
      <c r="C412" s="66">
        <v>593630</v>
      </c>
      <c r="D412" s="56" t="e">
        <f>(C412/#REF!)*100</f>
        <v>#REF!</v>
      </c>
      <c r="E412" s="67">
        <v>570072</v>
      </c>
      <c r="F412" s="67">
        <v>612727</v>
      </c>
      <c r="G412" s="67">
        <v>425039.99</v>
      </c>
      <c r="H412" s="67">
        <f>SUM(G412/F412)*100</f>
        <v>69.36857523823824</v>
      </c>
      <c r="I412" s="120">
        <v>612727</v>
      </c>
      <c r="J412" s="67">
        <f>610392-30000+150000</f>
        <v>730392</v>
      </c>
      <c r="K412" s="67">
        <f>SUM(J412/I412)*100</f>
        <v>119.20349519443407</v>
      </c>
    </row>
    <row r="413" spans="1:11" ht="15.75">
      <c r="A413" s="17"/>
      <c r="B413" s="38" t="s">
        <v>21</v>
      </c>
      <c r="C413" s="40">
        <v>48753</v>
      </c>
      <c r="D413" s="41" t="e">
        <f>(C413/#REF!)*100</f>
        <v>#REF!</v>
      </c>
      <c r="E413" s="42">
        <v>46738</v>
      </c>
      <c r="F413" s="42">
        <v>43463</v>
      </c>
      <c r="G413" s="42">
        <v>32947.03</v>
      </c>
      <c r="H413" s="42">
        <f>SUM(G413/F413)*100</f>
        <v>75.80477647654327</v>
      </c>
      <c r="I413" s="217">
        <v>43463</v>
      </c>
      <c r="J413" s="42">
        <f>51650-5000</f>
        <v>46650</v>
      </c>
      <c r="K413" s="42">
        <f>SUM(J413/I413)*100</f>
        <v>107.33267376849274</v>
      </c>
    </row>
    <row r="414" spans="1:11" ht="12.75" customHeight="1">
      <c r="A414" s="17"/>
      <c r="B414" s="17"/>
      <c r="C414" s="55"/>
      <c r="D414" s="56"/>
      <c r="E414" s="57"/>
      <c r="F414" s="57"/>
      <c r="G414" s="57"/>
      <c r="H414" s="57"/>
      <c r="I414" s="57"/>
      <c r="J414" s="57"/>
      <c r="K414" s="193"/>
    </row>
    <row r="415" spans="1:11" ht="15.75">
      <c r="A415" s="58">
        <v>80146</v>
      </c>
      <c r="B415" s="108" t="s">
        <v>65</v>
      </c>
      <c r="C415" s="32">
        <f>SUM(C417,C421:C421)</f>
        <v>108501</v>
      </c>
      <c r="D415" s="60" t="e">
        <f>(C415/#REF!)*100</f>
        <v>#REF!</v>
      </c>
      <c r="E415" s="34">
        <f>SUM(E417,E420:E421)</f>
        <v>147053</v>
      </c>
      <c r="F415" s="34">
        <f>SUM(F417,F420:F421)</f>
        <v>153390</v>
      </c>
      <c r="G415" s="34">
        <f>SUM(G417,G420:G421)</f>
        <v>77518.37</v>
      </c>
      <c r="H415" s="34">
        <f>SUM(G415/F415)*100</f>
        <v>50.536782058804356</v>
      </c>
      <c r="I415" s="34">
        <f>SUM(I417,I420:I421)</f>
        <v>150390</v>
      </c>
      <c r="J415" s="34">
        <f>SUM(J417,J420:J421)</f>
        <v>193798</v>
      </c>
      <c r="K415" s="34">
        <f>SUM(J415/I415)*100</f>
        <v>128.863621251413</v>
      </c>
    </row>
    <row r="416" spans="1:11" ht="12.75" customHeight="1">
      <c r="A416" s="17"/>
      <c r="B416" s="116"/>
      <c r="C416" s="35"/>
      <c r="D416" s="56"/>
      <c r="E416" s="37"/>
      <c r="F416" s="37"/>
      <c r="G416" s="37"/>
      <c r="H416" s="37"/>
      <c r="I416" s="37"/>
      <c r="J416" s="37"/>
      <c r="K416" s="193"/>
    </row>
    <row r="417" spans="1:11" ht="30">
      <c r="A417" s="17"/>
      <c r="B417" s="98" t="s">
        <v>199</v>
      </c>
      <c r="C417" s="66">
        <v>76501</v>
      </c>
      <c r="D417" s="41" t="e">
        <f>(C417/#REF!)*100</f>
        <v>#REF!</v>
      </c>
      <c r="E417" s="67">
        <f>82131+29922</f>
        <v>112053</v>
      </c>
      <c r="F417" s="67">
        <f>82131+29922</f>
        <v>112053</v>
      </c>
      <c r="G417" s="67">
        <v>57538.37</v>
      </c>
      <c r="H417" s="67">
        <f>SUM(G417/F417)*100</f>
        <v>51.349245446351276</v>
      </c>
      <c r="I417" s="67">
        <v>112053</v>
      </c>
      <c r="J417" s="67">
        <f>159558</f>
        <v>159558</v>
      </c>
      <c r="K417" s="67">
        <f>SUM(J417/I417)*100</f>
        <v>142.39511659661053</v>
      </c>
    </row>
    <row r="418" spans="1:11" ht="15.75">
      <c r="A418" s="17"/>
      <c r="B418" s="98" t="s">
        <v>4</v>
      </c>
      <c r="C418" s="66"/>
      <c r="D418" s="41"/>
      <c r="E418" s="67"/>
      <c r="F418" s="67"/>
      <c r="G418" s="67"/>
      <c r="H418" s="67"/>
      <c r="I418" s="67"/>
      <c r="J418" s="67"/>
      <c r="K418" s="120"/>
    </row>
    <row r="419" spans="1:11" ht="15.75">
      <c r="A419" s="17"/>
      <c r="B419" s="97" t="s">
        <v>93</v>
      </c>
      <c r="C419" s="40"/>
      <c r="D419" s="41"/>
      <c r="E419" s="42">
        <v>500</v>
      </c>
      <c r="F419" s="42">
        <v>1000</v>
      </c>
      <c r="G419" s="42">
        <v>500</v>
      </c>
      <c r="H419" s="42">
        <f>SUM(G419/F419)*100</f>
        <v>50</v>
      </c>
      <c r="I419" s="42">
        <v>1000</v>
      </c>
      <c r="J419" s="42">
        <v>3235</v>
      </c>
      <c r="K419" s="42">
        <f>SUM(J419/I419)*100</f>
        <v>323.5</v>
      </c>
    </row>
    <row r="420" spans="1:11" ht="45">
      <c r="A420" s="17"/>
      <c r="B420" s="98" t="s">
        <v>273</v>
      </c>
      <c r="C420" s="66"/>
      <c r="D420" s="41"/>
      <c r="E420" s="67">
        <v>0</v>
      </c>
      <c r="F420" s="67">
        <v>6337</v>
      </c>
      <c r="G420" s="67">
        <v>780</v>
      </c>
      <c r="H420" s="42">
        <f>SUM(G420/F420)*100</f>
        <v>12.308663405396876</v>
      </c>
      <c r="I420" s="67">
        <v>6337</v>
      </c>
      <c r="J420" s="67">
        <v>0</v>
      </c>
      <c r="K420" s="42">
        <f>SUM(J420/I420)*100</f>
        <v>0</v>
      </c>
    </row>
    <row r="421" spans="1:11" ht="45.75" thickBot="1">
      <c r="A421" s="59"/>
      <c r="B421" s="105" t="s">
        <v>394</v>
      </c>
      <c r="C421" s="106">
        <v>32000</v>
      </c>
      <c r="D421" s="95" t="e">
        <f>(C421/#REF!)*100</f>
        <v>#REF!</v>
      </c>
      <c r="E421" s="107">
        <v>35000</v>
      </c>
      <c r="F421" s="107">
        <v>35000</v>
      </c>
      <c r="G421" s="107">
        <v>19200</v>
      </c>
      <c r="H421" s="42">
        <f>SUM(G421/F421)*100</f>
        <v>54.85714285714286</v>
      </c>
      <c r="I421" s="107">
        <v>32000</v>
      </c>
      <c r="J421" s="107">
        <f>34240-10000+10000</f>
        <v>34240</v>
      </c>
      <c r="K421" s="42">
        <f>SUM(J421/I421)*100</f>
        <v>107</v>
      </c>
    </row>
    <row r="422" spans="1:11" ht="15.75">
      <c r="A422" s="2"/>
      <c r="B422" s="3"/>
      <c r="C422" s="4"/>
      <c r="D422" s="5"/>
      <c r="E422" s="4"/>
      <c r="F422" s="4"/>
      <c r="G422" s="4"/>
      <c r="H422" s="4"/>
      <c r="I422" s="4"/>
      <c r="J422" s="4"/>
      <c r="K422" s="243"/>
    </row>
    <row r="423" spans="1:11" ht="15.75">
      <c r="A423" s="6" t="s">
        <v>31</v>
      </c>
      <c r="B423" s="7" t="s">
        <v>0</v>
      </c>
      <c r="C423" s="8" t="s">
        <v>167</v>
      </c>
      <c r="D423" s="8" t="s">
        <v>30</v>
      </c>
      <c r="E423" s="8" t="s">
        <v>234</v>
      </c>
      <c r="F423" s="8" t="s">
        <v>234</v>
      </c>
      <c r="G423" s="8" t="s">
        <v>251</v>
      </c>
      <c r="H423" s="8" t="s">
        <v>30</v>
      </c>
      <c r="I423" s="8" t="s">
        <v>297</v>
      </c>
      <c r="J423" s="8" t="s">
        <v>300</v>
      </c>
      <c r="K423" s="244" t="s">
        <v>30</v>
      </c>
    </row>
    <row r="424" spans="1:11" ht="15.75">
      <c r="A424" s="6" t="s">
        <v>33</v>
      </c>
      <c r="B424" s="9"/>
      <c r="C424" s="8" t="s">
        <v>166</v>
      </c>
      <c r="D424" s="10" t="s">
        <v>12</v>
      </c>
      <c r="E424" s="8" t="s">
        <v>250</v>
      </c>
      <c r="F424" s="8" t="s">
        <v>296</v>
      </c>
      <c r="G424" s="8" t="s">
        <v>296</v>
      </c>
      <c r="H424" s="8" t="s">
        <v>12</v>
      </c>
      <c r="I424" s="8" t="s">
        <v>298</v>
      </c>
      <c r="J424" s="8" t="s">
        <v>301</v>
      </c>
      <c r="K424" s="244" t="s">
        <v>12</v>
      </c>
    </row>
    <row r="425" spans="1:11" ht="16.5" thickBot="1">
      <c r="A425" s="11"/>
      <c r="B425" s="12"/>
      <c r="C425" s="13"/>
      <c r="D425" s="13"/>
      <c r="E425" s="13" t="s">
        <v>233</v>
      </c>
      <c r="F425" s="13" t="s">
        <v>233</v>
      </c>
      <c r="G425" s="13" t="s">
        <v>233</v>
      </c>
      <c r="H425" s="13"/>
      <c r="I425" s="13" t="s">
        <v>299</v>
      </c>
      <c r="J425" s="13" t="s">
        <v>233</v>
      </c>
      <c r="K425" s="245"/>
    </row>
    <row r="426" spans="1:11" ht="12.75" customHeight="1">
      <c r="A426" s="17"/>
      <c r="B426" s="17"/>
      <c r="C426" s="55"/>
      <c r="D426" s="56"/>
      <c r="E426" s="57"/>
      <c r="F426" s="57"/>
      <c r="G426" s="57"/>
      <c r="H426" s="57"/>
      <c r="I426" s="57"/>
      <c r="J426" s="57"/>
      <c r="K426" s="193"/>
    </row>
    <row r="427" spans="1:11" ht="15.75">
      <c r="A427" s="58">
        <v>80195</v>
      </c>
      <c r="B427" s="108" t="s">
        <v>35</v>
      </c>
      <c r="C427" s="32" t="e">
        <f>SUM(C429,#REF!)</f>
        <v>#REF!</v>
      </c>
      <c r="D427" s="60" t="e">
        <f>(C427/#REF!)*100</f>
        <v>#REF!</v>
      </c>
      <c r="E427" s="34">
        <f>SUM(E429)</f>
        <v>375484</v>
      </c>
      <c r="F427" s="34">
        <f>SUM(F429)</f>
        <v>393000</v>
      </c>
      <c r="G427" s="34">
        <f>SUM(G429)</f>
        <v>282313.39</v>
      </c>
      <c r="H427" s="34">
        <f>SUM(G427/F427)*100</f>
        <v>71.83546819338422</v>
      </c>
      <c r="I427" s="34">
        <f>SUM(I429)</f>
        <v>358280.9</v>
      </c>
      <c r="J427" s="34">
        <f>SUM(J429)</f>
        <v>417227</v>
      </c>
      <c r="K427" s="34">
        <f>SUM(J427/I427)*100</f>
        <v>116.45248183757492</v>
      </c>
    </row>
    <row r="428" spans="1:11" ht="12.75" customHeight="1">
      <c r="A428" s="17"/>
      <c r="B428" s="17"/>
      <c r="C428" s="61"/>
      <c r="D428" s="56"/>
      <c r="E428" s="62"/>
      <c r="F428" s="62"/>
      <c r="G428" s="62"/>
      <c r="H428" s="62"/>
      <c r="I428" s="62"/>
      <c r="J428" s="62"/>
      <c r="K428" s="229"/>
    </row>
    <row r="429" spans="1:11" ht="14.25" customHeight="1">
      <c r="A429" s="17"/>
      <c r="B429" s="17" t="s">
        <v>178</v>
      </c>
      <c r="C429" s="35">
        <f>SUM(C431:C432)</f>
        <v>182624</v>
      </c>
      <c r="D429" s="56" t="e">
        <f>(C429/#REF!)*100</f>
        <v>#REF!</v>
      </c>
      <c r="E429" s="37">
        <f>SUM(E431:E437)</f>
        <v>375484</v>
      </c>
      <c r="F429" s="37">
        <f>SUM(F431:F437)</f>
        <v>393000</v>
      </c>
      <c r="G429" s="37">
        <f>SUM(G431:G437)</f>
        <v>282313.39</v>
      </c>
      <c r="H429" s="37">
        <f>SUM(G429/F429)*100</f>
        <v>71.83546819338422</v>
      </c>
      <c r="I429" s="37">
        <f>SUM(I431:I437)</f>
        <v>358280.9</v>
      </c>
      <c r="J429" s="37">
        <f>SUM(J431:J437)</f>
        <v>417227</v>
      </c>
      <c r="K429" s="89">
        <f>SUM(J429/I429)*100</f>
        <v>116.45248183757492</v>
      </c>
    </row>
    <row r="430" spans="1:11" ht="14.25" customHeight="1">
      <c r="A430" s="17"/>
      <c r="B430" s="17" t="s">
        <v>4</v>
      </c>
      <c r="C430" s="35"/>
      <c r="D430" s="56"/>
      <c r="E430" s="37"/>
      <c r="F430" s="37"/>
      <c r="G430" s="37"/>
      <c r="H430" s="37"/>
      <c r="I430" s="37"/>
      <c r="J430" s="37"/>
      <c r="K430" s="193"/>
    </row>
    <row r="431" spans="1:11" ht="30.75">
      <c r="A431" s="17"/>
      <c r="B431" s="64" t="s">
        <v>151</v>
      </c>
      <c r="C431" s="40">
        <v>2000</v>
      </c>
      <c r="D431" s="41" t="e">
        <f>(C431/#REF!)*100</f>
        <v>#REF!</v>
      </c>
      <c r="E431" s="42">
        <v>2500</v>
      </c>
      <c r="F431" s="42">
        <v>2500</v>
      </c>
      <c r="G431" s="42">
        <v>1151.9</v>
      </c>
      <c r="H431" s="42">
        <f aca="true" t="shared" si="6" ref="H431:H437">SUM(G431/F431)*100</f>
        <v>46.07600000000001</v>
      </c>
      <c r="I431" s="42">
        <v>1451.9</v>
      </c>
      <c r="J431" s="42">
        <v>1260</v>
      </c>
      <c r="K431" s="42">
        <f>SUM(J431/I431)*100</f>
        <v>86.7828362834906</v>
      </c>
    </row>
    <row r="432" spans="1:11" ht="45">
      <c r="A432" s="17"/>
      <c r="B432" s="97" t="s">
        <v>96</v>
      </c>
      <c r="C432" s="40">
        <v>180624</v>
      </c>
      <c r="D432" s="41" t="e">
        <f>(C432/#REF!)*100</f>
        <v>#REF!</v>
      </c>
      <c r="E432" s="42">
        <f>204560+45101</f>
        <v>249661</v>
      </c>
      <c r="F432" s="42">
        <v>250477</v>
      </c>
      <c r="G432" s="42">
        <v>250477</v>
      </c>
      <c r="H432" s="42">
        <f t="shared" si="6"/>
        <v>100</v>
      </c>
      <c r="I432" s="42">
        <v>250477</v>
      </c>
      <c r="J432" s="42">
        <f>312726</f>
        <v>312726</v>
      </c>
      <c r="K432" s="42">
        <f>SUM(J432/I432)*100</f>
        <v>124.85218203667404</v>
      </c>
    </row>
    <row r="433" spans="1:11" ht="30">
      <c r="A433" s="17"/>
      <c r="B433" s="105" t="s">
        <v>200</v>
      </c>
      <c r="C433" s="106"/>
      <c r="D433" s="95"/>
      <c r="E433" s="107">
        <v>72473</v>
      </c>
      <c r="F433" s="107">
        <v>72473</v>
      </c>
      <c r="G433" s="107">
        <v>30684.49</v>
      </c>
      <c r="H433" s="42">
        <f t="shared" si="6"/>
        <v>42.33920218564155</v>
      </c>
      <c r="I433" s="107">
        <v>38802</v>
      </c>
      <c r="J433" s="107">
        <v>52391</v>
      </c>
      <c r="K433" s="42">
        <f>SUM(J433/I433)*100</f>
        <v>135.0213906499665</v>
      </c>
    </row>
    <row r="434" spans="1:11" ht="45.75" customHeight="1">
      <c r="A434" s="17"/>
      <c r="B434" s="105" t="s">
        <v>274</v>
      </c>
      <c r="C434" s="106"/>
      <c r="D434" s="95"/>
      <c r="E434" s="107">
        <v>0</v>
      </c>
      <c r="F434" s="107">
        <v>2200</v>
      </c>
      <c r="G434" s="107">
        <v>0</v>
      </c>
      <c r="H434" s="42">
        <f t="shared" si="6"/>
        <v>0</v>
      </c>
      <c r="I434" s="237">
        <v>2200</v>
      </c>
      <c r="J434" s="107">
        <v>0</v>
      </c>
      <c r="K434" s="42">
        <f>SUM(J434/I434)*100</f>
        <v>0</v>
      </c>
    </row>
    <row r="435" spans="1:11" ht="30">
      <c r="A435" s="17"/>
      <c r="B435" s="105" t="s">
        <v>363</v>
      </c>
      <c r="C435" s="106"/>
      <c r="D435" s="95"/>
      <c r="E435" s="107"/>
      <c r="F435" s="107">
        <v>14500</v>
      </c>
      <c r="G435" s="107">
        <v>0</v>
      </c>
      <c r="H435" s="42">
        <f t="shared" si="6"/>
        <v>0</v>
      </c>
      <c r="I435" s="237">
        <v>14500</v>
      </c>
      <c r="J435" s="107">
        <v>0</v>
      </c>
      <c r="K435" s="42">
        <f>SUM(J435/I435)*100</f>
        <v>0</v>
      </c>
    </row>
    <row r="436" spans="1:11" ht="45">
      <c r="A436" s="17"/>
      <c r="B436" s="105" t="s">
        <v>202</v>
      </c>
      <c r="C436" s="106"/>
      <c r="D436" s="95"/>
      <c r="E436" s="107">
        <v>40000</v>
      </c>
      <c r="F436" s="107">
        <v>40000</v>
      </c>
      <c r="G436" s="107">
        <v>0</v>
      </c>
      <c r="H436" s="42">
        <f t="shared" si="6"/>
        <v>0</v>
      </c>
      <c r="I436" s="107">
        <v>40000</v>
      </c>
      <c r="J436" s="107">
        <v>40000</v>
      </c>
      <c r="K436" s="42">
        <f>SUM(J436/I436)*100</f>
        <v>100</v>
      </c>
    </row>
    <row r="437" spans="1:11" ht="30">
      <c r="A437" s="59"/>
      <c r="B437" s="105" t="s">
        <v>201</v>
      </c>
      <c r="C437" s="106"/>
      <c r="D437" s="95"/>
      <c r="E437" s="107">
        <v>10850</v>
      </c>
      <c r="F437" s="107">
        <v>10850</v>
      </c>
      <c r="G437" s="107">
        <v>0</v>
      </c>
      <c r="H437" s="42">
        <f t="shared" si="6"/>
        <v>0</v>
      </c>
      <c r="I437" s="107">
        <v>10850</v>
      </c>
      <c r="J437" s="107">
        <v>10850</v>
      </c>
      <c r="K437" s="42">
        <f>SUM(J437/I437)*100</f>
        <v>100</v>
      </c>
    </row>
    <row r="438" spans="1:11" ht="15.75">
      <c r="A438" s="185"/>
      <c r="B438" s="207"/>
      <c r="C438" s="208"/>
      <c r="D438" s="122"/>
      <c r="E438" s="209"/>
      <c r="F438" s="209"/>
      <c r="G438" s="209"/>
      <c r="H438" s="209"/>
      <c r="I438" s="209"/>
      <c r="J438" s="209"/>
      <c r="K438" s="235"/>
    </row>
    <row r="439" spans="1:11" ht="12.75" customHeight="1">
      <c r="A439" s="47"/>
      <c r="B439" s="47"/>
      <c r="C439" s="48"/>
      <c r="D439" s="56"/>
      <c r="E439" s="50"/>
      <c r="F439" s="50"/>
      <c r="G439" s="50"/>
      <c r="H439" s="50"/>
      <c r="I439" s="50"/>
      <c r="J439" s="50"/>
      <c r="K439" s="229"/>
    </row>
    <row r="440" spans="1:11" ht="16.5" thickBot="1">
      <c r="A440" s="51">
        <v>851</v>
      </c>
      <c r="B440" s="152" t="s">
        <v>66</v>
      </c>
      <c r="C440" s="53">
        <f>SUM(C442,C448,C460)</f>
        <v>943000</v>
      </c>
      <c r="D440" s="24" t="e">
        <f>(C440/#REF!)*100</f>
        <v>#REF!</v>
      </c>
      <c r="E440" s="54">
        <f>SUM(E442,E448,E456,E460)</f>
        <v>803300</v>
      </c>
      <c r="F440" s="54">
        <f>SUM(F442,F448,F456,F460)</f>
        <v>817159</v>
      </c>
      <c r="G440" s="54">
        <f>SUM(G442,G448,G456,G460)</f>
        <v>619712.07</v>
      </c>
      <c r="H440" s="24">
        <f>SUM(G440/F440)*100</f>
        <v>75.83739149908402</v>
      </c>
      <c r="I440" s="54">
        <f>SUM(I442,I448,I456,I460)</f>
        <v>816630</v>
      </c>
      <c r="J440" s="54">
        <f>SUM(J442,J448,J456,J460)</f>
        <v>822740</v>
      </c>
      <c r="K440" s="24">
        <f>SUM(J440/I440)*100</f>
        <v>100.7481968578181</v>
      </c>
    </row>
    <row r="441" spans="1:11" ht="16.5" thickTop="1">
      <c r="A441" s="17"/>
      <c r="B441" s="70"/>
      <c r="C441" s="35"/>
      <c r="D441" s="156"/>
      <c r="E441" s="37"/>
      <c r="F441" s="37"/>
      <c r="G441" s="37"/>
      <c r="H441" s="37"/>
      <c r="I441" s="37"/>
      <c r="J441" s="37"/>
      <c r="K441" s="193"/>
    </row>
    <row r="442" spans="1:11" ht="15.75">
      <c r="A442" s="58">
        <v>85153</v>
      </c>
      <c r="B442" s="164" t="s">
        <v>121</v>
      </c>
      <c r="C442" s="32">
        <f>SUM(C444)</f>
        <v>16000</v>
      </c>
      <c r="D442" s="60" t="e">
        <f>(C442/#REF!)*100</f>
        <v>#REF!</v>
      </c>
      <c r="E442" s="34">
        <f>SUM(E444)</f>
        <v>20000</v>
      </c>
      <c r="F442" s="34">
        <f>SUM(F444)</f>
        <v>20000</v>
      </c>
      <c r="G442" s="34">
        <f>SUM(G444)</f>
        <v>12330</v>
      </c>
      <c r="H442" s="34">
        <f>SUM(G442/F442)*100</f>
        <v>61.650000000000006</v>
      </c>
      <c r="I442" s="34">
        <f>SUM(I444)</f>
        <v>20000</v>
      </c>
      <c r="J442" s="34">
        <f>SUM(J444)</f>
        <v>10000</v>
      </c>
      <c r="K442" s="34">
        <f>SUM(J442/I442)*100</f>
        <v>50</v>
      </c>
    </row>
    <row r="443" spans="1:11" ht="15.75">
      <c r="A443" s="17"/>
      <c r="B443" s="70"/>
      <c r="C443" s="35"/>
      <c r="D443" s="56"/>
      <c r="E443" s="37"/>
      <c r="F443" s="37"/>
      <c r="G443" s="37"/>
      <c r="H443" s="37"/>
      <c r="I443" s="37"/>
      <c r="J443" s="37"/>
      <c r="K443" s="193"/>
    </row>
    <row r="444" spans="1:11" ht="15.75">
      <c r="A444" s="17"/>
      <c r="B444" s="91" t="s">
        <v>122</v>
      </c>
      <c r="C444" s="40">
        <v>16000</v>
      </c>
      <c r="D444" s="41" t="e">
        <f>(C444/#REF!)*100</f>
        <v>#REF!</v>
      </c>
      <c r="E444" s="42">
        <v>20000</v>
      </c>
      <c r="F444" s="42">
        <v>20000</v>
      </c>
      <c r="G444" s="42">
        <v>12330</v>
      </c>
      <c r="H444" s="42">
        <f>SUM(G444/F444)*100</f>
        <v>61.650000000000006</v>
      </c>
      <c r="I444" s="42">
        <v>20000</v>
      </c>
      <c r="J444" s="42">
        <f>20000-10000</f>
        <v>10000</v>
      </c>
      <c r="K444" s="42">
        <f>SUM(J444/I444)*100</f>
        <v>50</v>
      </c>
    </row>
    <row r="445" spans="1:11" ht="15.75">
      <c r="A445" s="17"/>
      <c r="B445" s="65" t="s">
        <v>130</v>
      </c>
      <c r="C445" s="66"/>
      <c r="D445" s="56"/>
      <c r="E445" s="67"/>
      <c r="F445" s="67"/>
      <c r="G445" s="67"/>
      <c r="H445" s="67"/>
      <c r="I445" s="67"/>
      <c r="J445" s="67"/>
      <c r="K445" s="120"/>
    </row>
    <row r="446" spans="1:11" ht="15.75">
      <c r="A446" s="17"/>
      <c r="B446" s="65" t="s">
        <v>106</v>
      </c>
      <c r="C446" s="66">
        <v>14360</v>
      </c>
      <c r="D446" s="56" t="e">
        <f>(C446/#REF!)*100</f>
        <v>#REF!</v>
      </c>
      <c r="E446" s="67">
        <v>19560</v>
      </c>
      <c r="F446" s="67">
        <v>19560</v>
      </c>
      <c r="G446" s="67">
        <v>12330</v>
      </c>
      <c r="H446" s="67">
        <f>SUM(G446/F446)*100</f>
        <v>63.036809815950924</v>
      </c>
      <c r="I446" s="67">
        <v>19560</v>
      </c>
      <c r="J446" s="67">
        <f>20000-10000</f>
        <v>10000</v>
      </c>
      <c r="K446" s="67">
        <f>SUM(J446/I446)*100</f>
        <v>51.124744376278116</v>
      </c>
    </row>
    <row r="447" spans="1:11" ht="15.75">
      <c r="A447" s="17"/>
      <c r="B447" s="154"/>
      <c r="C447" s="35"/>
      <c r="D447" s="56"/>
      <c r="E447" s="37"/>
      <c r="F447" s="37"/>
      <c r="G447" s="37"/>
      <c r="H447" s="37"/>
      <c r="I447" s="37"/>
      <c r="J447" s="37"/>
      <c r="K447" s="193"/>
    </row>
    <row r="448" spans="1:11" ht="15.75">
      <c r="A448" s="58">
        <v>85154</v>
      </c>
      <c r="B448" s="153" t="s">
        <v>67</v>
      </c>
      <c r="C448" s="35">
        <f>SUM(C450)</f>
        <v>650000</v>
      </c>
      <c r="D448" s="60" t="e">
        <f>(C448/#REF!)*100</f>
        <v>#REF!</v>
      </c>
      <c r="E448" s="37">
        <f>SUM(E450)</f>
        <v>700000</v>
      </c>
      <c r="F448" s="37">
        <f>SUM(F450)</f>
        <v>700000</v>
      </c>
      <c r="G448" s="37">
        <f>SUM(G450)</f>
        <v>540521.37</v>
      </c>
      <c r="H448" s="34">
        <f>SUM(G448/F448)*100</f>
        <v>77.21733857142857</v>
      </c>
      <c r="I448" s="37">
        <f>SUM(I450)</f>
        <v>700000</v>
      </c>
      <c r="J448" s="37">
        <f>SUM(J450)</f>
        <v>740000</v>
      </c>
      <c r="K448" s="34">
        <f>SUM(J448/I448)*100</f>
        <v>105.71428571428572</v>
      </c>
    </row>
    <row r="449" spans="1:11" ht="12.75" customHeight="1">
      <c r="A449" s="17"/>
      <c r="B449" s="47"/>
      <c r="C449" s="61"/>
      <c r="D449" s="165"/>
      <c r="E449" s="62"/>
      <c r="F449" s="62"/>
      <c r="G449" s="62"/>
      <c r="H449" s="62"/>
      <c r="I449" s="62"/>
      <c r="J449" s="62"/>
      <c r="K449" s="229"/>
    </row>
    <row r="450" spans="1:11" ht="30.75">
      <c r="A450" s="17"/>
      <c r="B450" s="65" t="s">
        <v>6</v>
      </c>
      <c r="C450" s="66">
        <v>650000</v>
      </c>
      <c r="D450" s="56" t="e">
        <f>(C450/#REF!)*100</f>
        <v>#REF!</v>
      </c>
      <c r="E450" s="67">
        <v>700000</v>
      </c>
      <c r="F450" s="67">
        <v>700000</v>
      </c>
      <c r="G450" s="67">
        <v>540521.37</v>
      </c>
      <c r="H450" s="67">
        <f>SUM(G450/F450)*100</f>
        <v>77.21733857142857</v>
      </c>
      <c r="I450" s="67">
        <v>700000</v>
      </c>
      <c r="J450" s="67">
        <f>750000-10000</f>
        <v>740000</v>
      </c>
      <c r="K450" s="67">
        <f>SUM(J450/I450)*100</f>
        <v>105.71428571428572</v>
      </c>
    </row>
    <row r="451" spans="1:11" ht="15.75">
      <c r="A451" s="17"/>
      <c r="B451" s="65" t="s">
        <v>130</v>
      </c>
      <c r="C451" s="66"/>
      <c r="D451" s="56"/>
      <c r="E451" s="67"/>
      <c r="F451" s="67"/>
      <c r="G451" s="67"/>
      <c r="H451" s="67"/>
      <c r="I451" s="67"/>
      <c r="J451" s="67"/>
      <c r="K451" s="120"/>
    </row>
    <row r="452" spans="1:11" ht="15.75">
      <c r="A452" s="17"/>
      <c r="B452" s="65" t="s">
        <v>106</v>
      </c>
      <c r="C452" s="66">
        <v>50000</v>
      </c>
      <c r="D452" s="56" t="e">
        <f>(C452/#REF!)*100</f>
        <v>#REF!</v>
      </c>
      <c r="E452" s="67">
        <v>50000</v>
      </c>
      <c r="F452" s="67">
        <v>150439</v>
      </c>
      <c r="G452" s="67">
        <v>96027.15</v>
      </c>
      <c r="H452" s="67">
        <f>SUM(G452/F452)*100</f>
        <v>63.83128709975472</v>
      </c>
      <c r="I452" s="67">
        <v>150439</v>
      </c>
      <c r="J452" s="67">
        <v>40000</v>
      </c>
      <c r="K452" s="67">
        <f>SUM(J452/I452)*100</f>
        <v>26.588849965766855</v>
      </c>
    </row>
    <row r="453" spans="1:11" ht="15.75">
      <c r="A453" s="17"/>
      <c r="B453" s="65" t="s">
        <v>129</v>
      </c>
      <c r="C453" s="66">
        <v>80000</v>
      </c>
      <c r="D453" s="56" t="e">
        <f>(C453/#REF!)*100</f>
        <v>#REF!</v>
      </c>
      <c r="E453" s="67">
        <v>70000</v>
      </c>
      <c r="F453" s="67">
        <v>70000</v>
      </c>
      <c r="G453" s="67">
        <v>63533</v>
      </c>
      <c r="H453" s="67">
        <f>SUM(G453/F453)*100</f>
        <v>90.76142857142857</v>
      </c>
      <c r="I453" s="67">
        <v>63533</v>
      </c>
      <c r="J453" s="67">
        <v>70000</v>
      </c>
      <c r="K453" s="67">
        <f>SUM(J453/I453)*100</f>
        <v>110.17896211417688</v>
      </c>
    </row>
    <row r="454" spans="1:11" ht="30.75">
      <c r="A454" s="17"/>
      <c r="B454" s="86" t="s">
        <v>28</v>
      </c>
      <c r="C454" s="40">
        <v>150000</v>
      </c>
      <c r="D454" s="41" t="e">
        <f>(C454/#REF!)*100</f>
        <v>#REF!</v>
      </c>
      <c r="E454" s="42">
        <v>150000</v>
      </c>
      <c r="F454" s="42">
        <v>150000</v>
      </c>
      <c r="G454" s="42">
        <v>149820</v>
      </c>
      <c r="H454" s="42">
        <f>SUM(G454/F454)*100</f>
        <v>99.88</v>
      </c>
      <c r="I454" s="42">
        <v>149820</v>
      </c>
      <c r="J454" s="42">
        <f>150000-10000</f>
        <v>140000</v>
      </c>
      <c r="K454" s="42">
        <f>SUM(J454/I454)*100</f>
        <v>93.4454678948071</v>
      </c>
    </row>
    <row r="455" spans="1:11" ht="15.75">
      <c r="A455" s="17"/>
      <c r="B455" s="87"/>
      <c r="C455" s="66"/>
      <c r="D455" s="56"/>
      <c r="E455" s="67"/>
      <c r="F455" s="67"/>
      <c r="G455" s="67"/>
      <c r="H455" s="67"/>
      <c r="I455" s="67"/>
      <c r="J455" s="67"/>
      <c r="K455" s="120"/>
    </row>
    <row r="456" spans="1:11" ht="15.75">
      <c r="A456" s="58">
        <v>85178</v>
      </c>
      <c r="B456" s="222" t="s">
        <v>264</v>
      </c>
      <c r="C456" s="40"/>
      <c r="D456" s="41"/>
      <c r="E456" s="221">
        <f>SUM(E458)</f>
        <v>0</v>
      </c>
      <c r="F456" s="221">
        <f>SUM(F458)</f>
        <v>14254</v>
      </c>
      <c r="G456" s="221">
        <f>SUM(G458)</f>
        <v>13725</v>
      </c>
      <c r="H456" s="34">
        <f>SUM(G456/F456)*100</f>
        <v>96.28876104952995</v>
      </c>
      <c r="I456" s="221">
        <f>SUM(I458)</f>
        <v>13725</v>
      </c>
      <c r="J456" s="221">
        <f>SUM(J458)</f>
        <v>0</v>
      </c>
      <c r="K456" s="34">
        <f>SUM(J456/I456)*100</f>
        <v>0</v>
      </c>
    </row>
    <row r="457" spans="1:11" ht="15.75">
      <c r="A457" s="17"/>
      <c r="B457" s="87"/>
      <c r="C457" s="66"/>
      <c r="D457" s="56"/>
      <c r="E457" s="67"/>
      <c r="F457" s="67"/>
      <c r="G457" s="67"/>
      <c r="H457" s="67"/>
      <c r="I457" s="67"/>
      <c r="J457" s="67"/>
      <c r="K457" s="120"/>
    </row>
    <row r="458" spans="1:11" ht="45.75">
      <c r="A458" s="17"/>
      <c r="B458" s="87" t="s">
        <v>275</v>
      </c>
      <c r="C458" s="66"/>
      <c r="D458" s="56"/>
      <c r="E458" s="67">
        <v>0</v>
      </c>
      <c r="F458" s="67">
        <v>14254</v>
      </c>
      <c r="G458" s="67">
        <v>13725</v>
      </c>
      <c r="H458" s="42">
        <f>SUM(G458/F458)*100</f>
        <v>96.28876104952995</v>
      </c>
      <c r="I458" s="67">
        <v>13725</v>
      </c>
      <c r="J458" s="67">
        <v>0</v>
      </c>
      <c r="K458" s="42">
        <f>SUM(J458/I458)*100</f>
        <v>0</v>
      </c>
    </row>
    <row r="459" spans="1:11" ht="12.75" customHeight="1">
      <c r="A459" s="17"/>
      <c r="B459" s="166"/>
      <c r="C459" s="61"/>
      <c r="D459" s="56"/>
      <c r="E459" s="62"/>
      <c r="F459" s="62"/>
      <c r="G459" s="62"/>
      <c r="H459" s="62"/>
      <c r="I459" s="62"/>
      <c r="J459" s="62"/>
      <c r="K459" s="229"/>
    </row>
    <row r="460" spans="1:11" ht="15.75">
      <c r="A460" s="58">
        <v>85195</v>
      </c>
      <c r="B460" s="153" t="s">
        <v>68</v>
      </c>
      <c r="C460" s="32">
        <f>SUM(C462)</f>
        <v>277000</v>
      </c>
      <c r="D460" s="33" t="e">
        <f>(C460/#REF!)*100</f>
        <v>#REF!</v>
      </c>
      <c r="E460" s="34">
        <f>SUM(E462)</f>
        <v>83300</v>
      </c>
      <c r="F460" s="34">
        <f>SUM(F462)</f>
        <v>82905</v>
      </c>
      <c r="G460" s="34">
        <f>SUM(G462)</f>
        <v>53135.7</v>
      </c>
      <c r="H460" s="34">
        <f>SUM(G460/F460)*100</f>
        <v>64.09227428984983</v>
      </c>
      <c r="I460" s="34">
        <f>SUM(I462)</f>
        <v>82905</v>
      </c>
      <c r="J460" s="34">
        <f>SUM(J462)</f>
        <v>72740</v>
      </c>
      <c r="K460" s="34">
        <f>SUM(J460/I460)*100</f>
        <v>87.73897834871238</v>
      </c>
    </row>
    <row r="461" spans="1:11" ht="12.75" customHeight="1">
      <c r="A461" s="17"/>
      <c r="B461" s="154"/>
      <c r="C461" s="35"/>
      <c r="D461" s="94"/>
      <c r="E461" s="37"/>
      <c r="F461" s="37"/>
      <c r="G461" s="37"/>
      <c r="H461" s="37"/>
      <c r="I461" s="37"/>
      <c r="J461" s="37"/>
      <c r="K461" s="193"/>
    </row>
    <row r="462" spans="1:11" ht="15.75">
      <c r="A462" s="17"/>
      <c r="B462" s="87" t="s">
        <v>26</v>
      </c>
      <c r="C462" s="66">
        <v>277000</v>
      </c>
      <c r="D462" s="56" t="e">
        <f>(C462/#REF!)*100</f>
        <v>#REF!</v>
      </c>
      <c r="E462" s="67">
        <v>83300</v>
      </c>
      <c r="F462" s="67">
        <v>82905</v>
      </c>
      <c r="G462" s="67">
        <v>53135.7</v>
      </c>
      <c r="H462" s="67">
        <f>SUM(G462/F462)*100</f>
        <v>64.09227428984983</v>
      </c>
      <c r="I462" s="67">
        <v>82905</v>
      </c>
      <c r="J462" s="67">
        <f>83300+1440-2000-10000</f>
        <v>72740</v>
      </c>
      <c r="K462" s="67">
        <f>SUM(J462/I462)*100</f>
        <v>87.73897834871238</v>
      </c>
    </row>
    <row r="463" spans="1:11" ht="15.75">
      <c r="A463" s="17"/>
      <c r="B463" s="65" t="s">
        <v>130</v>
      </c>
      <c r="C463" s="66"/>
      <c r="D463" s="56"/>
      <c r="E463" s="67"/>
      <c r="F463" s="67"/>
      <c r="G463" s="67"/>
      <c r="H463" s="67"/>
      <c r="I463" s="67"/>
      <c r="J463" s="67"/>
      <c r="K463" s="120"/>
    </row>
    <row r="464" spans="1:11" ht="15.75">
      <c r="A464" s="17"/>
      <c r="B464" s="65" t="s">
        <v>165</v>
      </c>
      <c r="C464" s="66">
        <v>220</v>
      </c>
      <c r="D464" s="56" t="e">
        <f>(C464/#REF!)*100</f>
        <v>#REF!</v>
      </c>
      <c r="E464" s="67">
        <v>220</v>
      </c>
      <c r="F464" s="67">
        <v>270</v>
      </c>
      <c r="G464" s="67">
        <v>0</v>
      </c>
      <c r="H464" s="67">
        <f>SUM(G464/F464)*100</f>
        <v>0</v>
      </c>
      <c r="I464" s="67">
        <v>270</v>
      </c>
      <c r="J464" s="67">
        <v>1440</v>
      </c>
      <c r="K464" s="67">
        <f>SUM(J464/I464)*100</f>
        <v>533.3333333333333</v>
      </c>
    </row>
    <row r="465" spans="1:11" ht="15.75">
      <c r="A465" s="59"/>
      <c r="B465" s="64" t="s">
        <v>129</v>
      </c>
      <c r="C465" s="40">
        <v>25000</v>
      </c>
      <c r="D465" s="41" t="e">
        <f>(C465/#REF!)*100</f>
        <v>#REF!</v>
      </c>
      <c r="E465" s="42">
        <v>15000</v>
      </c>
      <c r="F465" s="42">
        <v>15000</v>
      </c>
      <c r="G465" s="42">
        <v>15000</v>
      </c>
      <c r="H465" s="42">
        <f>SUM(G465/F465)*100</f>
        <v>100</v>
      </c>
      <c r="I465" s="42">
        <v>15000</v>
      </c>
      <c r="J465" s="42">
        <v>15000</v>
      </c>
      <c r="K465" s="42">
        <f>SUM(J465/I465)*100</f>
        <v>100</v>
      </c>
    </row>
    <row r="466" spans="1:11" ht="12.75" customHeight="1">
      <c r="A466" s="137"/>
      <c r="B466" s="121"/>
      <c r="C466" s="45"/>
      <c r="D466" s="92"/>
      <c r="E466" s="46"/>
      <c r="F466" s="46"/>
      <c r="G466" s="46"/>
      <c r="H466" s="46"/>
      <c r="I466" s="46"/>
      <c r="J466" s="46"/>
      <c r="K466" s="231"/>
    </row>
    <row r="467" spans="1:11" ht="15.75">
      <c r="A467" s="47"/>
      <c r="B467" s="47"/>
      <c r="C467" s="48"/>
      <c r="D467" s="56"/>
      <c r="E467" s="50"/>
      <c r="F467" s="50"/>
      <c r="G467" s="50"/>
      <c r="H467" s="50"/>
      <c r="I467" s="50"/>
      <c r="J467" s="50"/>
      <c r="K467" s="229"/>
    </row>
    <row r="468" spans="1:11" ht="16.5" thickBot="1">
      <c r="A468" s="51">
        <v>852</v>
      </c>
      <c r="B468" s="167" t="s">
        <v>69</v>
      </c>
      <c r="C468" s="53" t="e">
        <f>SUM(C470,#REF!,C494,C507,C512,C520,C528,C538,C544,#REF!)</f>
        <v>#REF!</v>
      </c>
      <c r="D468" s="158" t="e">
        <f>(C468/#REF!)*100</f>
        <v>#REF!</v>
      </c>
      <c r="E468" s="54">
        <f>SUM(E470,E485,E494,E507,E512,E520,E524,E528,E538,E544,E549,E553)</f>
        <v>16175458</v>
      </c>
      <c r="F468" s="54">
        <f>SUM(F470,F485,F494,F507,F512,F520,F524,F528,F538,F544,F549,F553)</f>
        <v>19409556</v>
      </c>
      <c r="G468" s="54">
        <f>SUM(G470,G485,G494,G507,G512,G520,G524,G528,G538,G544,G549,G553)</f>
        <v>13391508.299999999</v>
      </c>
      <c r="H468" s="24">
        <f>SUM(G468/F468)*100</f>
        <v>68.99440821830237</v>
      </c>
      <c r="I468" s="54">
        <f>SUM(I470,I485,I494,I507,I512,I520,I524,I528,I538,I544,I549,I553)</f>
        <v>18966950.95</v>
      </c>
      <c r="J468" s="54">
        <f>SUM(J470,J485,J494,J507,J512,J520,J524,J528,J538,J544,J549,J553)</f>
        <v>14632386</v>
      </c>
      <c r="K468" s="24">
        <f>SUM(J468/I468)*100</f>
        <v>77.14674877671891</v>
      </c>
    </row>
    <row r="469" spans="1:11" ht="16.5" thickTop="1">
      <c r="A469" s="17"/>
      <c r="B469" s="70"/>
      <c r="C469" s="55"/>
      <c r="D469" s="56"/>
      <c r="E469" s="57"/>
      <c r="F469" s="57"/>
      <c r="G469" s="57"/>
      <c r="H469" s="57"/>
      <c r="I469" s="57"/>
      <c r="J469" s="57"/>
      <c r="K469" s="193"/>
    </row>
    <row r="470" spans="1:11" ht="15.75">
      <c r="A470" s="58">
        <v>85202</v>
      </c>
      <c r="B470" s="155" t="s">
        <v>70</v>
      </c>
      <c r="C470" s="69" t="e">
        <f>SUM(C472,#REF!)</f>
        <v>#REF!</v>
      </c>
      <c r="D470" s="33" t="e">
        <f>(C470/#REF!)*100</f>
        <v>#REF!</v>
      </c>
      <c r="E470" s="168">
        <f>SUM(E472)</f>
        <v>456236</v>
      </c>
      <c r="F470" s="168">
        <f>SUM(F472)</f>
        <v>456236</v>
      </c>
      <c r="G470" s="168">
        <f>SUM(G472)</f>
        <v>313680.89</v>
      </c>
      <c r="H470" s="34">
        <f>SUM(G470/F470)*100</f>
        <v>68.75408560481856</v>
      </c>
      <c r="I470" s="168">
        <f>SUM(I472)</f>
        <v>456236</v>
      </c>
      <c r="J470" s="168">
        <f>SUM(J472)</f>
        <v>806266</v>
      </c>
      <c r="K470" s="34">
        <f>SUM(J470/I470)*100</f>
        <v>176.72125829614498</v>
      </c>
    </row>
    <row r="471" spans="1:11" ht="12.75" customHeight="1">
      <c r="A471" s="17"/>
      <c r="B471" s="70"/>
      <c r="C471" s="35"/>
      <c r="D471" s="94"/>
      <c r="E471" s="37"/>
      <c r="F471" s="37"/>
      <c r="G471" s="37"/>
      <c r="H471" s="37"/>
      <c r="I471" s="37"/>
      <c r="J471" s="37"/>
      <c r="K471" s="193"/>
    </row>
    <row r="472" spans="1:11" ht="15.75">
      <c r="A472" s="17"/>
      <c r="B472" s="90" t="s">
        <v>5</v>
      </c>
      <c r="C472" s="66">
        <f>SUM(C474,C475)</f>
        <v>436470</v>
      </c>
      <c r="D472" s="56" t="e">
        <f>(C472/#REF!)*100</f>
        <v>#REF!</v>
      </c>
      <c r="E472" s="67">
        <f>SUM(E474,E475,E477)</f>
        <v>456236</v>
      </c>
      <c r="F472" s="67">
        <f>SUM(F474,F475,F477)</f>
        <v>456236</v>
      </c>
      <c r="G472" s="67">
        <f>SUM(G474,G475,G477)</f>
        <v>313680.89</v>
      </c>
      <c r="H472" s="67">
        <f>SUM(G472/F472)*100</f>
        <v>68.75408560481856</v>
      </c>
      <c r="I472" s="67">
        <f>SUM(I474,I475,I477)</f>
        <v>456236</v>
      </c>
      <c r="J472" s="67">
        <f>SUM(J474,J475,J477)</f>
        <v>806266</v>
      </c>
      <c r="K472" s="67">
        <f>SUM(J472/I472)*100</f>
        <v>176.72125829614498</v>
      </c>
    </row>
    <row r="473" spans="1:11" ht="15.75">
      <c r="A473" s="17"/>
      <c r="B473" s="90" t="s">
        <v>4</v>
      </c>
      <c r="C473" s="66"/>
      <c r="D473" s="56"/>
      <c r="E473" s="67"/>
      <c r="F473" s="67"/>
      <c r="G473" s="67"/>
      <c r="H473" s="67"/>
      <c r="I473" s="67"/>
      <c r="J473" s="67"/>
      <c r="K473" s="120"/>
    </row>
    <row r="474" spans="1:11" ht="15.75">
      <c r="A474" s="17"/>
      <c r="B474" s="90" t="s">
        <v>94</v>
      </c>
      <c r="C474" s="66">
        <v>353110</v>
      </c>
      <c r="D474" s="56" t="e">
        <f>(C474/#REF!)*100</f>
        <v>#REF!</v>
      </c>
      <c r="E474" s="67">
        <v>354646</v>
      </c>
      <c r="F474" s="67">
        <v>354646</v>
      </c>
      <c r="G474" s="67">
        <v>263008.89</v>
      </c>
      <c r="H474" s="67">
        <f>SUM(G474/F474)*100</f>
        <v>74.1609633268104</v>
      </c>
      <c r="I474" s="67">
        <v>354646</v>
      </c>
      <c r="J474" s="67">
        <f>368233-50000</f>
        <v>318233</v>
      </c>
      <c r="K474" s="67">
        <f>SUM(J474/I474)*100</f>
        <v>89.73257840212494</v>
      </c>
    </row>
    <row r="475" spans="1:11" ht="15.75">
      <c r="A475" s="17"/>
      <c r="B475" s="91" t="s">
        <v>27</v>
      </c>
      <c r="C475" s="40">
        <v>83360</v>
      </c>
      <c r="D475" s="41" t="e">
        <f>(C475/#REF!)*100</f>
        <v>#REF!</v>
      </c>
      <c r="E475" s="42">
        <v>94390</v>
      </c>
      <c r="F475" s="42">
        <v>94390</v>
      </c>
      <c r="G475" s="42">
        <v>50672</v>
      </c>
      <c r="H475" s="42">
        <f>SUM(G475/F475)*100</f>
        <v>53.683652929335736</v>
      </c>
      <c r="I475" s="42">
        <v>94390</v>
      </c>
      <c r="J475" s="42">
        <f>476653-10000+128</f>
        <v>466781</v>
      </c>
      <c r="K475" s="42">
        <f>SUM(J475/I475)*100</f>
        <v>494.52378429918423</v>
      </c>
    </row>
    <row r="476" spans="1:11" ht="15.75">
      <c r="A476" s="17"/>
      <c r="B476" s="90"/>
      <c r="C476" s="66"/>
      <c r="D476" s="56"/>
      <c r="E476" s="67"/>
      <c r="F476" s="67"/>
      <c r="G476" s="67"/>
      <c r="H476" s="67"/>
      <c r="I476" s="67"/>
      <c r="J476" s="67"/>
      <c r="K476" s="120"/>
    </row>
    <row r="477" spans="1:11" ht="15.75">
      <c r="A477" s="17"/>
      <c r="B477" s="159" t="s">
        <v>179</v>
      </c>
      <c r="C477" s="66"/>
      <c r="D477" s="56"/>
      <c r="E477" s="89">
        <f>SUM(E479)</f>
        <v>7200</v>
      </c>
      <c r="F477" s="89">
        <f>SUM(F479:F483)</f>
        <v>7200</v>
      </c>
      <c r="G477" s="89">
        <f>SUM(G479:G483)</f>
        <v>0</v>
      </c>
      <c r="H477" s="37">
        <f>SUM(G477/F477)*100</f>
        <v>0</v>
      </c>
      <c r="I477" s="89">
        <f>SUM(I479:I483)</f>
        <v>7200</v>
      </c>
      <c r="J477" s="89">
        <f>SUM(J479:J483)</f>
        <v>21252</v>
      </c>
      <c r="K477" s="89">
        <f>SUM(J477/I477)*100</f>
        <v>295.1666666666667</v>
      </c>
    </row>
    <row r="478" spans="1:11" ht="15.75">
      <c r="A478" s="17"/>
      <c r="B478" s="159" t="s">
        <v>4</v>
      </c>
      <c r="C478" s="66"/>
      <c r="D478" s="56"/>
      <c r="E478" s="67"/>
      <c r="F478" s="67"/>
      <c r="G478" s="67"/>
      <c r="H478" s="67"/>
      <c r="I478" s="67"/>
      <c r="J478" s="67"/>
      <c r="K478" s="120"/>
    </row>
    <row r="479" spans="1:11" ht="30.75">
      <c r="A479" s="17"/>
      <c r="B479" s="86" t="s">
        <v>231</v>
      </c>
      <c r="C479" s="40"/>
      <c r="D479" s="41"/>
      <c r="E479" s="42">
        <v>7200</v>
      </c>
      <c r="F479" s="42">
        <v>7200</v>
      </c>
      <c r="G479" s="42">
        <v>0</v>
      </c>
      <c r="H479" s="42">
        <f>SUM(G479/F479)*100</f>
        <v>0</v>
      </c>
      <c r="I479" s="42">
        <v>7200</v>
      </c>
      <c r="J479" s="42">
        <v>0</v>
      </c>
      <c r="K479" s="42">
        <f>SUM(J479/I479)*100</f>
        <v>0</v>
      </c>
    </row>
    <row r="480" spans="1:11" ht="15.75">
      <c r="A480" s="17"/>
      <c r="B480" s="125" t="s">
        <v>365</v>
      </c>
      <c r="C480" s="106"/>
      <c r="D480" s="95"/>
      <c r="E480" s="107"/>
      <c r="F480" s="107">
        <v>0</v>
      </c>
      <c r="G480" s="107">
        <v>0</v>
      </c>
      <c r="H480" s="107">
        <v>0</v>
      </c>
      <c r="I480" s="107">
        <v>0</v>
      </c>
      <c r="J480" s="107">
        <f>9260-128</f>
        <v>9132</v>
      </c>
      <c r="K480" s="107">
        <v>0</v>
      </c>
    </row>
    <row r="481" spans="1:11" ht="15.75">
      <c r="A481" s="17"/>
      <c r="B481" s="125" t="s">
        <v>364</v>
      </c>
      <c r="C481" s="106"/>
      <c r="D481" s="95"/>
      <c r="E481" s="107"/>
      <c r="F481" s="107">
        <v>0</v>
      </c>
      <c r="G481" s="107">
        <v>0</v>
      </c>
      <c r="H481" s="107">
        <v>0</v>
      </c>
      <c r="I481" s="107">
        <v>0</v>
      </c>
      <c r="J481" s="107">
        <v>5120</v>
      </c>
      <c r="K481" s="107">
        <v>0</v>
      </c>
    </row>
    <row r="482" spans="1:11" ht="15.75">
      <c r="A482" s="17"/>
      <c r="B482" s="125" t="s">
        <v>366</v>
      </c>
      <c r="C482" s="106"/>
      <c r="D482" s="95"/>
      <c r="E482" s="107"/>
      <c r="F482" s="107">
        <v>0</v>
      </c>
      <c r="G482" s="107">
        <v>0</v>
      </c>
      <c r="H482" s="107">
        <v>0</v>
      </c>
      <c r="I482" s="107">
        <v>0</v>
      </c>
      <c r="J482" s="107">
        <v>7000</v>
      </c>
      <c r="K482" s="107">
        <v>0</v>
      </c>
    </row>
    <row r="483" spans="1:11" ht="30.75">
      <c r="A483" s="17"/>
      <c r="B483" s="125" t="s">
        <v>367</v>
      </c>
      <c r="C483" s="106"/>
      <c r="D483" s="95"/>
      <c r="E483" s="107"/>
      <c r="F483" s="107">
        <v>0</v>
      </c>
      <c r="G483" s="107">
        <v>0</v>
      </c>
      <c r="H483" s="107">
        <v>0</v>
      </c>
      <c r="I483" s="107">
        <v>0</v>
      </c>
      <c r="J483" s="107">
        <f>9700-9700</f>
        <v>0</v>
      </c>
      <c r="K483" s="107">
        <v>0</v>
      </c>
    </row>
    <row r="484" spans="1:11" ht="15.75">
      <c r="A484" s="17"/>
      <c r="B484" s="154"/>
      <c r="C484" s="55"/>
      <c r="D484" s="56"/>
      <c r="E484" s="57"/>
      <c r="F484" s="57"/>
      <c r="G484" s="57"/>
      <c r="H484" s="57"/>
      <c r="I484" s="57"/>
      <c r="J484" s="57"/>
      <c r="K484" s="193"/>
    </row>
    <row r="485" spans="1:11" ht="31.5">
      <c r="A485" s="58">
        <v>85205</v>
      </c>
      <c r="B485" s="169" t="s">
        <v>244</v>
      </c>
      <c r="C485" s="32">
        <f>SUM(C487:C487)</f>
        <v>10000</v>
      </c>
      <c r="D485" s="60" t="e">
        <f>(C485/#REF!)*100</f>
        <v>#REF!</v>
      </c>
      <c r="E485" s="34">
        <f>SUM(E487:E487)</f>
        <v>10000</v>
      </c>
      <c r="F485" s="34">
        <f>SUM(F487:F487)</f>
        <v>10000</v>
      </c>
      <c r="G485" s="34">
        <f>SUM(G487:G487)</f>
        <v>7640.06</v>
      </c>
      <c r="H485" s="34">
        <f>SUM(G485/F485)*100</f>
        <v>76.40060000000001</v>
      </c>
      <c r="I485" s="34">
        <f>SUM(I487:I487)</f>
        <v>10000</v>
      </c>
      <c r="J485" s="34">
        <f>SUM(J487:J487)</f>
        <v>10000</v>
      </c>
      <c r="K485" s="34">
        <f>SUM(J485/I485)*100</f>
        <v>100</v>
      </c>
    </row>
    <row r="486" spans="1:11" ht="15.75">
      <c r="A486" s="17"/>
      <c r="B486" s="154"/>
      <c r="C486" s="35"/>
      <c r="D486" s="56"/>
      <c r="E486" s="37"/>
      <c r="F486" s="37"/>
      <c r="G486" s="37"/>
      <c r="H486" s="37"/>
      <c r="I486" s="37"/>
      <c r="J486" s="37"/>
      <c r="K486" s="193"/>
    </row>
    <row r="487" spans="1:11" ht="45.75">
      <c r="A487" s="17"/>
      <c r="B487" s="65" t="s">
        <v>152</v>
      </c>
      <c r="C487" s="66">
        <v>10000</v>
      </c>
      <c r="D487" s="56" t="e">
        <f>(C487/#REF!)*100</f>
        <v>#REF!</v>
      </c>
      <c r="E487" s="67">
        <v>10000</v>
      </c>
      <c r="F487" s="67">
        <v>10000</v>
      </c>
      <c r="G487" s="67">
        <v>7640.06</v>
      </c>
      <c r="H487" s="67">
        <f>SUM(G487/F487)*100</f>
        <v>76.40060000000001</v>
      </c>
      <c r="I487" s="67">
        <v>10000</v>
      </c>
      <c r="J487" s="67">
        <v>10000</v>
      </c>
      <c r="K487" s="67">
        <f>SUM(J487/I487)*100</f>
        <v>100</v>
      </c>
    </row>
    <row r="488" spans="1:11" ht="16.5" thickBot="1">
      <c r="A488" s="59"/>
      <c r="B488" s="64" t="s">
        <v>143</v>
      </c>
      <c r="C488" s="40"/>
      <c r="D488" s="41"/>
      <c r="E488" s="42">
        <v>8095</v>
      </c>
      <c r="F488" s="42">
        <v>8095</v>
      </c>
      <c r="G488" s="42">
        <v>6640.65</v>
      </c>
      <c r="H488" s="224">
        <f>SUM(G488/F488)*100</f>
        <v>82.03397158739962</v>
      </c>
      <c r="I488" s="42">
        <v>8095</v>
      </c>
      <c r="J488" s="42">
        <v>9962</v>
      </c>
      <c r="K488" s="42">
        <f>SUM(J488/I488)*100</f>
        <v>123.06361951822113</v>
      </c>
    </row>
    <row r="489" spans="1:11" ht="15.75">
      <c r="A489" s="2"/>
      <c r="B489" s="3"/>
      <c r="C489" s="4"/>
      <c r="D489" s="5"/>
      <c r="E489" s="4"/>
      <c r="F489" s="4"/>
      <c r="G489" s="4"/>
      <c r="H489" s="4"/>
      <c r="I489" s="4"/>
      <c r="J489" s="4"/>
      <c r="K489" s="243"/>
    </row>
    <row r="490" spans="1:11" ht="15.75">
      <c r="A490" s="6" t="s">
        <v>31</v>
      </c>
      <c r="B490" s="7" t="s">
        <v>0</v>
      </c>
      <c r="C490" s="8" t="s">
        <v>167</v>
      </c>
      <c r="D490" s="8" t="s">
        <v>30</v>
      </c>
      <c r="E490" s="8" t="s">
        <v>234</v>
      </c>
      <c r="F490" s="8" t="s">
        <v>234</v>
      </c>
      <c r="G490" s="8" t="s">
        <v>251</v>
      </c>
      <c r="H490" s="8" t="s">
        <v>30</v>
      </c>
      <c r="I490" s="8" t="s">
        <v>297</v>
      </c>
      <c r="J490" s="8" t="s">
        <v>300</v>
      </c>
      <c r="K490" s="244" t="s">
        <v>30</v>
      </c>
    </row>
    <row r="491" spans="1:11" ht="15.75">
      <c r="A491" s="6" t="s">
        <v>33</v>
      </c>
      <c r="B491" s="9"/>
      <c r="C491" s="8" t="s">
        <v>166</v>
      </c>
      <c r="D491" s="10" t="s">
        <v>12</v>
      </c>
      <c r="E491" s="8" t="s">
        <v>250</v>
      </c>
      <c r="F491" s="8" t="s">
        <v>296</v>
      </c>
      <c r="G491" s="8" t="s">
        <v>296</v>
      </c>
      <c r="H491" s="8" t="s">
        <v>12</v>
      </c>
      <c r="I491" s="8" t="s">
        <v>298</v>
      </c>
      <c r="J491" s="8" t="s">
        <v>301</v>
      </c>
      <c r="K491" s="244" t="s">
        <v>12</v>
      </c>
    </row>
    <row r="492" spans="1:11" ht="16.5" thickBot="1">
      <c r="A492" s="11"/>
      <c r="B492" s="12"/>
      <c r="C492" s="13"/>
      <c r="D492" s="13"/>
      <c r="E492" s="13" t="s">
        <v>233</v>
      </c>
      <c r="F492" s="13" t="s">
        <v>233</v>
      </c>
      <c r="G492" s="13" t="s">
        <v>233</v>
      </c>
      <c r="H492" s="13"/>
      <c r="I492" s="13" t="s">
        <v>299</v>
      </c>
      <c r="J492" s="13" t="s">
        <v>233</v>
      </c>
      <c r="K492" s="245"/>
    </row>
    <row r="493" spans="1:11" ht="15.75">
      <c r="A493" s="210"/>
      <c r="B493" s="211"/>
      <c r="C493" s="212"/>
      <c r="D493" s="212"/>
      <c r="E493" s="212"/>
      <c r="F493" s="212"/>
      <c r="G493" s="212"/>
      <c r="H493" s="212"/>
      <c r="I493" s="212"/>
      <c r="J493" s="212"/>
      <c r="K493" s="236"/>
    </row>
    <row r="494" spans="1:11" ht="63">
      <c r="A494" s="171">
        <v>85212</v>
      </c>
      <c r="B494" s="153" t="s">
        <v>175</v>
      </c>
      <c r="C494" s="32" t="e">
        <f>SUM(C496,C501)</f>
        <v>#REF!</v>
      </c>
      <c r="D494" s="33" t="e">
        <f>(C494/#REF!)*100</f>
        <v>#REF!</v>
      </c>
      <c r="E494" s="34">
        <f>SUM(E496,E501)</f>
        <v>9370000</v>
      </c>
      <c r="F494" s="34">
        <f>SUM(F496,F501)</f>
        <v>8032670</v>
      </c>
      <c r="G494" s="34">
        <f>SUM(G496,G501)</f>
        <v>5816395.33</v>
      </c>
      <c r="H494" s="34">
        <f>SUM(G494/F494)*100</f>
        <v>72.40924038955913</v>
      </c>
      <c r="I494" s="34">
        <f>SUM(I496,I501)</f>
        <v>8032670</v>
      </c>
      <c r="J494" s="34">
        <f>SUM(J496,J501)</f>
        <v>7802000</v>
      </c>
      <c r="K494" s="34">
        <f>SUM(J494/I494)*100</f>
        <v>97.12835209214371</v>
      </c>
    </row>
    <row r="495" spans="1:11" ht="12.75" customHeight="1">
      <c r="A495" s="17"/>
      <c r="B495" s="154"/>
      <c r="C495" s="55"/>
      <c r="D495" s="94"/>
      <c r="E495" s="57"/>
      <c r="F495" s="57"/>
      <c r="G495" s="57"/>
      <c r="H495" s="57"/>
      <c r="I495" s="57"/>
      <c r="J495" s="57"/>
      <c r="K495" s="193"/>
    </row>
    <row r="496" spans="1:11" ht="15.75">
      <c r="A496" s="17"/>
      <c r="B496" s="87" t="s">
        <v>7</v>
      </c>
      <c r="C496" s="66">
        <v>120000</v>
      </c>
      <c r="D496" s="56" t="e">
        <f>(C496/#REF!)*100</f>
        <v>#REF!</v>
      </c>
      <c r="E496" s="67">
        <f>SUM(E498:E499)</f>
        <v>92000</v>
      </c>
      <c r="F496" s="67">
        <f>SUM(F498:F499)</f>
        <v>88370</v>
      </c>
      <c r="G496" s="67">
        <f>SUM(G498:G499)</f>
        <v>63433.78</v>
      </c>
      <c r="H496" s="67">
        <f>SUM(G496/F496)*100</f>
        <v>71.78203010071292</v>
      </c>
      <c r="I496" s="67">
        <f>SUM(I498:I499)</f>
        <v>88370</v>
      </c>
      <c r="J496" s="67">
        <f>SUM(J498:J499)</f>
        <v>85000</v>
      </c>
      <c r="K496" s="67">
        <f>SUM(J496/I496)*100</f>
        <v>96.18648862736224</v>
      </c>
    </row>
    <row r="497" spans="1:11" ht="15.75">
      <c r="A497" s="17"/>
      <c r="B497" s="87" t="s">
        <v>4</v>
      </c>
      <c r="C497" s="66"/>
      <c r="D497" s="56"/>
      <c r="E497" s="67"/>
      <c r="F497" s="67"/>
      <c r="G497" s="67"/>
      <c r="H497" s="67"/>
      <c r="I497" s="67"/>
      <c r="J497" s="120"/>
      <c r="K497" s="120"/>
    </row>
    <row r="498" spans="1:11" ht="15.75">
      <c r="A498" s="17"/>
      <c r="B498" s="87" t="s">
        <v>24</v>
      </c>
      <c r="C498" s="66"/>
      <c r="D498" s="56"/>
      <c r="E498" s="67">
        <v>80000</v>
      </c>
      <c r="F498" s="67">
        <f>64515+19855</f>
        <v>84370</v>
      </c>
      <c r="G498" s="67">
        <f>46500+16933.78</f>
        <v>63433.78</v>
      </c>
      <c r="H498" s="67">
        <f aca="true" t="shared" si="7" ref="H498:H505">SUM(G498/F498)*100</f>
        <v>75.1852317174351</v>
      </c>
      <c r="I498" s="67">
        <v>84370</v>
      </c>
      <c r="J498" s="67">
        <f>96000-15000</f>
        <v>81000</v>
      </c>
      <c r="K498" s="67">
        <f>SUM(J498/I498)*100</f>
        <v>96.00568922602821</v>
      </c>
    </row>
    <row r="499" spans="1:11" ht="15.75">
      <c r="A499" s="17"/>
      <c r="B499" s="87" t="s">
        <v>21</v>
      </c>
      <c r="C499" s="66"/>
      <c r="D499" s="56"/>
      <c r="E499" s="67">
        <v>12000</v>
      </c>
      <c r="F499" s="67">
        <v>4000</v>
      </c>
      <c r="G499" s="67">
        <v>0</v>
      </c>
      <c r="H499" s="67">
        <f t="shared" si="7"/>
        <v>0</v>
      </c>
      <c r="I499" s="67">
        <v>4000</v>
      </c>
      <c r="J499" s="67">
        <v>4000</v>
      </c>
      <c r="K499" s="67">
        <f>SUM(J499/I499)*100</f>
        <v>100</v>
      </c>
    </row>
    <row r="500" spans="1:11" ht="15.75">
      <c r="A500" s="17"/>
      <c r="B500" s="87"/>
      <c r="C500" s="78"/>
      <c r="D500" s="56"/>
      <c r="E500" s="120"/>
      <c r="F500" s="67"/>
      <c r="G500" s="120"/>
      <c r="H500" s="67"/>
      <c r="I500" s="120"/>
      <c r="J500" s="120"/>
      <c r="K500" s="120"/>
    </row>
    <row r="501" spans="1:11" ht="15.75">
      <c r="A501" s="17"/>
      <c r="B501" s="87" t="s">
        <v>123</v>
      </c>
      <c r="C501" s="66" t="e">
        <f>SUM(#REF!)</f>
        <v>#REF!</v>
      </c>
      <c r="D501" s="56" t="e">
        <f>(C501/#REF!)*100</f>
        <v>#REF!</v>
      </c>
      <c r="E501" s="67">
        <f>SUM(E503:E505)</f>
        <v>9278000</v>
      </c>
      <c r="F501" s="67">
        <f>SUM(F503:F505)</f>
        <v>7944300</v>
      </c>
      <c r="G501" s="67">
        <f>SUM(G503:G505)</f>
        <v>5752961.55</v>
      </c>
      <c r="H501" s="67">
        <f t="shared" si="7"/>
        <v>72.41621728786677</v>
      </c>
      <c r="I501" s="67">
        <f>SUM(I503:I505)</f>
        <v>7944300</v>
      </c>
      <c r="J501" s="67">
        <f>SUM(J503:J505)</f>
        <v>7717000</v>
      </c>
      <c r="K501" s="67">
        <f>SUM(J501/I501)*100</f>
        <v>97.13882909759198</v>
      </c>
    </row>
    <row r="502" spans="1:11" ht="15.75">
      <c r="A502" s="17"/>
      <c r="B502" s="87" t="s">
        <v>4</v>
      </c>
      <c r="C502" s="66"/>
      <c r="D502" s="56"/>
      <c r="E502" s="67"/>
      <c r="F502" s="67"/>
      <c r="G502" s="120"/>
      <c r="H502" s="67"/>
      <c r="I502" s="120"/>
      <c r="J502" s="120"/>
      <c r="K502" s="120"/>
    </row>
    <row r="503" spans="1:11" ht="15.75">
      <c r="A503" s="17"/>
      <c r="B503" s="87" t="s">
        <v>93</v>
      </c>
      <c r="C503" s="66">
        <v>310213</v>
      </c>
      <c r="D503" s="56" t="e">
        <f>(C503/#REF!)*100</f>
        <v>#REF!</v>
      </c>
      <c r="E503" s="67">
        <v>157000</v>
      </c>
      <c r="F503" s="67">
        <v>140250</v>
      </c>
      <c r="G503" s="120">
        <v>109917.12</v>
      </c>
      <c r="H503" s="67">
        <f t="shared" si="7"/>
        <v>78.3722780748663</v>
      </c>
      <c r="I503" s="67">
        <v>140250</v>
      </c>
      <c r="J503" s="67">
        <v>176051</v>
      </c>
      <c r="K503" s="67">
        <f>SUM(J503/I503)*100</f>
        <v>125.526559714795</v>
      </c>
    </row>
    <row r="504" spans="1:11" ht="15.75">
      <c r="A504" s="17"/>
      <c r="B504" s="87" t="s">
        <v>24</v>
      </c>
      <c r="C504" s="66">
        <v>7367233</v>
      </c>
      <c r="D504" s="56" t="e">
        <f>(C504/#REF!)*100</f>
        <v>#REF!</v>
      </c>
      <c r="E504" s="67">
        <v>9096460</v>
      </c>
      <c r="F504" s="67">
        <f>7705971+76270</f>
        <v>7782241</v>
      </c>
      <c r="G504" s="120">
        <f>5545589.01+76270</f>
        <v>5621859.01</v>
      </c>
      <c r="H504" s="67">
        <f t="shared" si="7"/>
        <v>72.23959024142275</v>
      </c>
      <c r="I504" s="67">
        <v>7782241</v>
      </c>
      <c r="J504" s="67">
        <v>7485490</v>
      </c>
      <c r="K504" s="67">
        <f>SUM(J504/I504)*100</f>
        <v>96.18681816715777</v>
      </c>
    </row>
    <row r="505" spans="1:11" ht="15.75">
      <c r="A505" s="17"/>
      <c r="B505" s="87" t="s">
        <v>21</v>
      </c>
      <c r="C505" s="66">
        <v>39554</v>
      </c>
      <c r="D505" s="56" t="e">
        <f>(C505/#REF!)*100</f>
        <v>#REF!</v>
      </c>
      <c r="E505" s="67">
        <v>24540</v>
      </c>
      <c r="F505" s="67">
        <v>21809</v>
      </c>
      <c r="G505" s="67">
        <v>21185.42</v>
      </c>
      <c r="H505" s="67">
        <f t="shared" si="7"/>
        <v>97.14072172039066</v>
      </c>
      <c r="I505" s="67">
        <v>21809</v>
      </c>
      <c r="J505" s="67">
        <v>55459</v>
      </c>
      <c r="K505" s="67">
        <f>SUM(J505/I505)*100</f>
        <v>254.29409876656428</v>
      </c>
    </row>
    <row r="506" spans="1:11" ht="15.75">
      <c r="A506" s="59"/>
      <c r="B506" s="153"/>
      <c r="C506" s="32"/>
      <c r="D506" s="133"/>
      <c r="E506" s="34"/>
      <c r="F506" s="34"/>
      <c r="G506" s="34"/>
      <c r="H506" s="34"/>
      <c r="I506" s="34"/>
      <c r="J506" s="34"/>
      <c r="K506" s="228"/>
    </row>
    <row r="507" spans="1:11" ht="94.5">
      <c r="A507" s="171">
        <v>85213</v>
      </c>
      <c r="B507" s="108" t="s">
        <v>245</v>
      </c>
      <c r="C507" s="32">
        <f>SUM(C510)</f>
        <v>94000</v>
      </c>
      <c r="D507" s="33" t="e">
        <f>(C507/#REF!)*100</f>
        <v>#REF!</v>
      </c>
      <c r="E507" s="34">
        <f>SUM(E509,E510)</f>
        <v>54800</v>
      </c>
      <c r="F507" s="34">
        <f>SUM(F509,F510)</f>
        <v>73430</v>
      </c>
      <c r="G507" s="34">
        <f>SUM(G509,G510)</f>
        <v>52511.14</v>
      </c>
      <c r="H507" s="34">
        <f>SUM(G507/F507)*100</f>
        <v>71.51183440010894</v>
      </c>
      <c r="I507" s="34">
        <f>SUM(I509,I510)</f>
        <v>73400.6</v>
      </c>
      <c r="J507" s="34">
        <f>SUM(J509,J510)</f>
        <v>75000</v>
      </c>
      <c r="K507" s="34">
        <f>SUM(J507/I507)*100</f>
        <v>102.17900126157006</v>
      </c>
    </row>
    <row r="508" spans="1:11" ht="12.75" customHeight="1">
      <c r="A508" s="17"/>
      <c r="B508" s="93"/>
      <c r="C508" s="35"/>
      <c r="D508" s="94"/>
      <c r="E508" s="37"/>
      <c r="F508" s="37"/>
      <c r="G508" s="37"/>
      <c r="H508" s="37"/>
      <c r="I508" s="37"/>
      <c r="J508" s="37"/>
      <c r="K508" s="193"/>
    </row>
    <row r="509" spans="1:11" ht="15.75">
      <c r="A509" s="17"/>
      <c r="B509" s="65" t="s">
        <v>7</v>
      </c>
      <c r="C509" s="66"/>
      <c r="D509" s="56"/>
      <c r="E509" s="67">
        <f>38000+2800</f>
        <v>40800</v>
      </c>
      <c r="F509" s="67">
        <f>41800+3630</f>
        <v>45430</v>
      </c>
      <c r="G509" s="67">
        <f>30056.14+3600.6</f>
        <v>33656.74</v>
      </c>
      <c r="H509" s="67">
        <f>SUM(G509/F509)*100</f>
        <v>74.08483381025754</v>
      </c>
      <c r="I509" s="67">
        <f>41800+3600.6</f>
        <v>45400.6</v>
      </c>
      <c r="J509" s="67">
        <f>36000+9000</f>
        <v>45000</v>
      </c>
      <c r="K509" s="67">
        <f>SUM(J509/I509)*100</f>
        <v>99.11763280661489</v>
      </c>
    </row>
    <row r="510" spans="1:11" ht="15.75">
      <c r="A510" s="59"/>
      <c r="B510" s="64" t="s">
        <v>8</v>
      </c>
      <c r="C510" s="40">
        <v>94000</v>
      </c>
      <c r="D510" s="41" t="e">
        <f>(C510/#REF!)*100</f>
        <v>#REF!</v>
      </c>
      <c r="E510" s="42">
        <v>14000</v>
      </c>
      <c r="F510" s="42">
        <v>28000</v>
      </c>
      <c r="G510" s="42">
        <v>18854.4</v>
      </c>
      <c r="H510" s="42">
        <f>SUM(G510/F510)*100</f>
        <v>67.33714285714287</v>
      </c>
      <c r="I510" s="42">
        <v>28000</v>
      </c>
      <c r="J510" s="42">
        <v>30000</v>
      </c>
      <c r="K510" s="42">
        <f>SUM(J510/I510)*100</f>
        <v>107.14285714285714</v>
      </c>
    </row>
    <row r="511" spans="1:11" ht="12.75" customHeight="1">
      <c r="A511" s="47"/>
      <c r="B511" s="47"/>
      <c r="C511" s="48"/>
      <c r="D511" s="100"/>
      <c r="E511" s="50"/>
      <c r="F511" s="50"/>
      <c r="G511" s="50"/>
      <c r="H511" s="50"/>
      <c r="I511" s="50"/>
      <c r="J511" s="50"/>
      <c r="K511" s="229"/>
    </row>
    <row r="512" spans="1:11" ht="31.5">
      <c r="A512" s="58">
        <v>85214</v>
      </c>
      <c r="B512" s="108" t="s">
        <v>92</v>
      </c>
      <c r="C512" s="32" t="e">
        <f>SUM(C514,#REF!)</f>
        <v>#REF!</v>
      </c>
      <c r="D512" s="33" t="e">
        <f>(C512/#REF!)*100</f>
        <v>#REF!</v>
      </c>
      <c r="E512" s="34">
        <f>SUM(E514)</f>
        <v>2294000</v>
      </c>
      <c r="F512" s="34">
        <f>SUM(F514)</f>
        <v>2246750</v>
      </c>
      <c r="G512" s="34">
        <f>SUM(G514)</f>
        <v>1480240.6400000001</v>
      </c>
      <c r="H512" s="34">
        <f>SUM(G512/F512)*100</f>
        <v>65.88363814398576</v>
      </c>
      <c r="I512" s="34">
        <f>SUM(I514)</f>
        <v>2046750</v>
      </c>
      <c r="J512" s="34">
        <f>SUM(J514)</f>
        <v>1950000</v>
      </c>
      <c r="K512" s="34">
        <f>SUM(J512/I512)*100</f>
        <v>95.27299377061195</v>
      </c>
    </row>
    <row r="513" spans="1:11" ht="12.75" customHeight="1">
      <c r="A513" s="17"/>
      <c r="B513" s="17"/>
      <c r="C513" s="35"/>
      <c r="D513" s="94"/>
      <c r="E513" s="37"/>
      <c r="F513" s="37"/>
      <c r="G513" s="37"/>
      <c r="H513" s="37"/>
      <c r="I513" s="37"/>
      <c r="J513" s="37"/>
      <c r="K513" s="193"/>
    </row>
    <row r="514" spans="1:13" ht="15.75">
      <c r="A514" s="17"/>
      <c r="B514" s="63" t="s">
        <v>7</v>
      </c>
      <c r="C514" s="66">
        <v>2754000</v>
      </c>
      <c r="D514" s="56" t="e">
        <f>(C514/#REF!)*100</f>
        <v>#REF!</v>
      </c>
      <c r="E514" s="67">
        <f>626000+1668000</f>
        <v>2294000</v>
      </c>
      <c r="F514" s="67">
        <f>SUM(F516:F517)</f>
        <v>2246750</v>
      </c>
      <c r="G514" s="67">
        <f>SUM(G516:G517)</f>
        <v>1480240.6400000001</v>
      </c>
      <c r="H514" s="67">
        <f>SUM(G514/F514)*100</f>
        <v>65.88363814398576</v>
      </c>
      <c r="I514" s="67">
        <f>SUM(I516:I517)</f>
        <v>2046750</v>
      </c>
      <c r="J514" s="67">
        <f>SUM(J516:J517)</f>
        <v>1950000</v>
      </c>
      <c r="K514" s="67">
        <f>SUM(J514/I514)*100</f>
        <v>95.27299377061195</v>
      </c>
      <c r="L514" s="1" t="s">
        <v>409</v>
      </c>
      <c r="M514" s="258"/>
    </row>
    <row r="515" spans="1:11" ht="15.75">
      <c r="A515" s="17"/>
      <c r="B515" s="63" t="s">
        <v>4</v>
      </c>
      <c r="C515" s="66"/>
      <c r="D515" s="56"/>
      <c r="E515" s="67"/>
      <c r="F515" s="67"/>
      <c r="G515" s="67"/>
      <c r="H515" s="67"/>
      <c r="I515" s="67"/>
      <c r="J515" s="67"/>
      <c r="K515" s="120"/>
    </row>
    <row r="516" spans="1:11" ht="15.75">
      <c r="A516" s="17"/>
      <c r="B516" s="63" t="s">
        <v>24</v>
      </c>
      <c r="C516" s="66"/>
      <c r="D516" s="56"/>
      <c r="E516" s="67">
        <v>1741000</v>
      </c>
      <c r="F516" s="67">
        <v>1696750</v>
      </c>
      <c r="G516" s="67">
        <v>990285.55</v>
      </c>
      <c r="H516" s="67">
        <f>SUM(G516/F516)*100</f>
        <v>58.36366877854723</v>
      </c>
      <c r="I516" s="67">
        <f>1696750-200000</f>
        <v>1496750</v>
      </c>
      <c r="J516" s="67">
        <f>561000+2162000-1023000-250000-50000</f>
        <v>1400000</v>
      </c>
      <c r="K516" s="67">
        <f>SUM(J516/I516)*100</f>
        <v>93.53599465508601</v>
      </c>
    </row>
    <row r="517" spans="1:11" ht="15.75">
      <c r="A517" s="59"/>
      <c r="B517" s="38" t="s">
        <v>21</v>
      </c>
      <c r="C517" s="40"/>
      <c r="D517" s="41"/>
      <c r="E517" s="42">
        <v>553000</v>
      </c>
      <c r="F517" s="42">
        <v>550000</v>
      </c>
      <c r="G517" s="42">
        <v>489955.09</v>
      </c>
      <c r="H517" s="42">
        <f>SUM(G517/F517)*100</f>
        <v>89.08274363636363</v>
      </c>
      <c r="I517" s="42">
        <v>550000</v>
      </c>
      <c r="J517" s="42">
        <f>950000-400000</f>
        <v>550000</v>
      </c>
      <c r="K517" s="42">
        <f>SUM(J517/I517)*100</f>
        <v>100</v>
      </c>
    </row>
    <row r="518" spans="1:11" ht="16.5" thickBot="1">
      <c r="A518" s="43"/>
      <c r="B518" s="43"/>
      <c r="C518" s="45"/>
      <c r="D518" s="172"/>
      <c r="E518" s="46"/>
      <c r="F518" s="46"/>
      <c r="G518" s="46"/>
      <c r="H518" s="46"/>
      <c r="I518" s="46"/>
      <c r="J518" s="46"/>
      <c r="K518" s="231"/>
    </row>
    <row r="519" spans="1:11" ht="12.75" customHeight="1">
      <c r="A519" s="47"/>
      <c r="B519" s="149"/>
      <c r="C519" s="61"/>
      <c r="D519" s="56"/>
      <c r="E519" s="62"/>
      <c r="F519" s="62"/>
      <c r="G519" s="62"/>
      <c r="H519" s="62"/>
      <c r="I519" s="62"/>
      <c r="J519" s="62"/>
      <c r="K519" s="229"/>
    </row>
    <row r="520" spans="1:11" ht="15.75">
      <c r="A520" s="58">
        <v>85215</v>
      </c>
      <c r="B520" s="59" t="s">
        <v>71</v>
      </c>
      <c r="C520" s="32">
        <f>SUM(C522)</f>
        <v>1906200</v>
      </c>
      <c r="D520" s="33" t="e">
        <f>(C520/#REF!)*100</f>
        <v>#REF!</v>
      </c>
      <c r="E520" s="34">
        <f>SUM(E522)</f>
        <v>1704000</v>
      </c>
      <c r="F520" s="34">
        <f>SUM(F522)</f>
        <v>1704000</v>
      </c>
      <c r="G520" s="34">
        <f>SUM(G522)</f>
        <v>1204125.96</v>
      </c>
      <c r="H520" s="34">
        <f>SUM(G520/F520)*100</f>
        <v>70.6646690140845</v>
      </c>
      <c r="I520" s="34">
        <f>SUM(I522)</f>
        <v>1504000</v>
      </c>
      <c r="J520" s="34">
        <f>SUM(J522)</f>
        <v>1400000</v>
      </c>
      <c r="K520" s="34">
        <f>SUM(J520/I520)*100</f>
        <v>93.08510638297872</v>
      </c>
    </row>
    <row r="521" spans="1:11" ht="12.75" customHeight="1">
      <c r="A521" s="17"/>
      <c r="B521" s="17"/>
      <c r="C521" s="61"/>
      <c r="D521" s="94"/>
      <c r="E521" s="62"/>
      <c r="F521" s="62"/>
      <c r="G521" s="62"/>
      <c r="H521" s="62"/>
      <c r="I521" s="62"/>
      <c r="J521" s="62"/>
      <c r="K521" s="229"/>
    </row>
    <row r="522" spans="1:11" ht="15.75">
      <c r="A522" s="17"/>
      <c r="B522" s="38" t="s">
        <v>9</v>
      </c>
      <c r="C522" s="40">
        <v>1906200</v>
      </c>
      <c r="D522" s="41" t="e">
        <f>(C522/#REF!)*100</f>
        <v>#REF!</v>
      </c>
      <c r="E522" s="42">
        <v>1704000</v>
      </c>
      <c r="F522" s="42">
        <v>1704000</v>
      </c>
      <c r="G522" s="42">
        <v>1204125.96</v>
      </c>
      <c r="H522" s="42">
        <f>SUM(G522/F522)*100</f>
        <v>70.6646690140845</v>
      </c>
      <c r="I522" s="42">
        <v>1504000</v>
      </c>
      <c r="J522" s="42">
        <f>1704000-100000-204000</f>
        <v>1400000</v>
      </c>
      <c r="K522" s="42">
        <f>SUM(J522/I522)*100</f>
        <v>93.08510638297872</v>
      </c>
    </row>
    <row r="523" spans="1:11" ht="15.75">
      <c r="A523" s="17"/>
      <c r="B523" s="17"/>
      <c r="C523" s="35"/>
      <c r="D523" s="94"/>
      <c r="E523" s="37"/>
      <c r="F523" s="37"/>
      <c r="G523" s="37"/>
      <c r="H523" s="37"/>
      <c r="I523" s="37"/>
      <c r="J523" s="37"/>
      <c r="K523" s="193"/>
    </row>
    <row r="524" spans="1:11" ht="15.75">
      <c r="A524" s="58">
        <v>85216</v>
      </c>
      <c r="B524" s="59" t="s">
        <v>203</v>
      </c>
      <c r="C524" s="32"/>
      <c r="D524" s="133"/>
      <c r="E524" s="34">
        <f>SUM(E526)</f>
        <v>490000</v>
      </c>
      <c r="F524" s="34">
        <f>SUM(F526)</f>
        <v>507000</v>
      </c>
      <c r="G524" s="34">
        <f>SUM(G526)</f>
        <v>366767.68</v>
      </c>
      <c r="H524" s="34">
        <f>SUM(G524/F524)*100</f>
        <v>72.34076528599606</v>
      </c>
      <c r="I524" s="34">
        <f>SUM(I526)</f>
        <v>507000</v>
      </c>
      <c r="J524" s="34">
        <f>SUM(J526)</f>
        <v>500000</v>
      </c>
      <c r="K524" s="34">
        <f>SUM(J524/I524)*100</f>
        <v>98.61932938856016</v>
      </c>
    </row>
    <row r="525" spans="1:11" ht="15.75">
      <c r="A525" s="17"/>
      <c r="B525" s="17"/>
      <c r="C525" s="35"/>
      <c r="D525" s="94"/>
      <c r="E525" s="37"/>
      <c r="F525" s="37"/>
      <c r="G525" s="37"/>
      <c r="H525" s="37"/>
      <c r="I525" s="37"/>
      <c r="J525" s="37"/>
      <c r="K525" s="193"/>
    </row>
    <row r="526" spans="1:11" ht="15.75">
      <c r="A526" s="59"/>
      <c r="B526" s="38" t="s">
        <v>204</v>
      </c>
      <c r="C526" s="40"/>
      <c r="D526" s="41"/>
      <c r="E526" s="42">
        <f>457000+33000</f>
        <v>490000</v>
      </c>
      <c r="F526" s="42">
        <v>507000</v>
      </c>
      <c r="G526" s="42">
        <v>366767.68</v>
      </c>
      <c r="H526" s="42">
        <f>SUM(G526/F526)*100</f>
        <v>72.34076528599606</v>
      </c>
      <c r="I526" s="42">
        <v>507000</v>
      </c>
      <c r="J526" s="42">
        <f>414000+186000-100000</f>
        <v>500000</v>
      </c>
      <c r="K526" s="42">
        <f>SUM(J526/I526)*100</f>
        <v>98.61932938856016</v>
      </c>
    </row>
    <row r="527" spans="1:11" ht="12.75" customHeight="1">
      <c r="A527" s="17"/>
      <c r="B527" s="17"/>
      <c r="C527" s="55"/>
      <c r="D527" s="56"/>
      <c r="E527" s="57"/>
      <c r="F527" s="57"/>
      <c r="G527" s="57"/>
      <c r="H527" s="57"/>
      <c r="I527" s="57"/>
      <c r="J527" s="57"/>
      <c r="K527" s="193"/>
    </row>
    <row r="528" spans="1:11" ht="15.75">
      <c r="A528" s="58">
        <v>85219</v>
      </c>
      <c r="B528" s="59" t="s">
        <v>72</v>
      </c>
      <c r="C528" s="32" t="e">
        <f>SUM(C530,#REF!,C534)</f>
        <v>#REF!</v>
      </c>
      <c r="D528" s="33" t="e">
        <f>(C528/#REF!)*100</f>
        <v>#REF!</v>
      </c>
      <c r="E528" s="34">
        <f>SUM(E530,E534)</f>
        <v>1540422</v>
      </c>
      <c r="F528" s="34">
        <f>SUM(F530,F534)</f>
        <v>1584272</v>
      </c>
      <c r="G528" s="34">
        <f>SUM(G530,G534)</f>
        <v>1076945.98</v>
      </c>
      <c r="H528" s="34">
        <f>SUM(G528/F528)*100</f>
        <v>67.97734101214942</v>
      </c>
      <c r="I528" s="34">
        <f>SUM(I530,I534)</f>
        <v>1541696.35</v>
      </c>
      <c r="J528" s="34">
        <f>SUM(J530,J534)</f>
        <v>1467120</v>
      </c>
      <c r="K528" s="34">
        <f>SUM(J528/I528)*100</f>
        <v>95.16270827261152</v>
      </c>
    </row>
    <row r="529" spans="1:11" ht="12.75" customHeight="1">
      <c r="A529" s="17"/>
      <c r="B529" s="17"/>
      <c r="C529" s="61"/>
      <c r="D529" s="94"/>
      <c r="E529" s="62"/>
      <c r="F529" s="62"/>
      <c r="G529" s="62"/>
      <c r="H529" s="62"/>
      <c r="I529" s="62"/>
      <c r="J529" s="62"/>
      <c r="K529" s="229"/>
    </row>
    <row r="530" spans="1:11" ht="15.75">
      <c r="A530" s="17"/>
      <c r="B530" s="38" t="s">
        <v>29</v>
      </c>
      <c r="C530" s="40">
        <f>SUM(C532:C533)</f>
        <v>1520585</v>
      </c>
      <c r="D530" s="41" t="e">
        <f>(C530/#REF!)*100</f>
        <v>#REF!</v>
      </c>
      <c r="E530" s="42">
        <f>SUM(E532:E533)</f>
        <v>1518182</v>
      </c>
      <c r="F530" s="42">
        <f>SUM(F532:F533)</f>
        <v>1562032</v>
      </c>
      <c r="G530" s="42">
        <f>SUM(G532:G533)</f>
        <v>1056095.98</v>
      </c>
      <c r="H530" s="42">
        <f>SUM(G530/F530)*100</f>
        <v>67.61039338502668</v>
      </c>
      <c r="I530" s="42">
        <f>SUM(I532:I533)</f>
        <v>1520846.35</v>
      </c>
      <c r="J530" s="42">
        <f>SUM(J532:J533)</f>
        <v>1450000</v>
      </c>
      <c r="K530" s="42">
        <f>SUM(J530/I530)*100</f>
        <v>95.34164973338693</v>
      </c>
    </row>
    <row r="531" spans="1:11" ht="15.75">
      <c r="A531" s="17"/>
      <c r="B531" s="63" t="s">
        <v>4</v>
      </c>
      <c r="C531" s="66"/>
      <c r="D531" s="56"/>
      <c r="E531" s="67"/>
      <c r="F531" s="67"/>
      <c r="G531" s="67"/>
      <c r="H531" s="67"/>
      <c r="I531" s="120"/>
      <c r="J531" s="120"/>
      <c r="K531" s="120"/>
    </row>
    <row r="532" spans="1:11" ht="15.75">
      <c r="A532" s="17"/>
      <c r="B532" s="38" t="s">
        <v>94</v>
      </c>
      <c r="C532" s="40">
        <v>1300801</v>
      </c>
      <c r="D532" s="41" t="e">
        <f>(C532/#REF!)*100</f>
        <v>#REF!</v>
      </c>
      <c r="E532" s="42">
        <v>1277677</v>
      </c>
      <c r="F532" s="42">
        <v>1321927</v>
      </c>
      <c r="G532" s="42">
        <v>910821.34</v>
      </c>
      <c r="H532" s="42">
        <f>SUM(G532/F532)*100</f>
        <v>68.90103160008078</v>
      </c>
      <c r="I532" s="42">
        <v>1303258</v>
      </c>
      <c r="J532" s="42">
        <f>523000+855668-83000</f>
        <v>1295668</v>
      </c>
      <c r="K532" s="42">
        <f>SUM(J532/I532)*100</f>
        <v>99.41761339657995</v>
      </c>
    </row>
    <row r="533" spans="1:11" ht="15.75">
      <c r="A533" s="17"/>
      <c r="B533" s="38" t="s">
        <v>27</v>
      </c>
      <c r="C533" s="40">
        <v>219784</v>
      </c>
      <c r="D533" s="95" t="e">
        <f>(C533/#REF!)*100</f>
        <v>#REF!</v>
      </c>
      <c r="E533" s="42">
        <v>240505</v>
      </c>
      <c r="F533" s="42">
        <v>240105</v>
      </c>
      <c r="G533" s="42">
        <v>145274.64</v>
      </c>
      <c r="H533" s="42">
        <f>SUM(G533/F533)*100</f>
        <v>60.50462922471419</v>
      </c>
      <c r="I533" s="42">
        <v>217588.35</v>
      </c>
      <c r="J533" s="42">
        <f>211113-6000-50781</f>
        <v>154332</v>
      </c>
      <c r="K533" s="42">
        <f>SUM(J533/I533)*100</f>
        <v>70.92842976197944</v>
      </c>
    </row>
    <row r="534" spans="1:11" ht="15.75">
      <c r="A534" s="17"/>
      <c r="B534" s="88" t="s">
        <v>240</v>
      </c>
      <c r="C534" s="66">
        <v>22500</v>
      </c>
      <c r="D534" s="56" t="e">
        <f>(C534/#REF!)*100</f>
        <v>#REF!</v>
      </c>
      <c r="E534" s="89">
        <f>SUM(E536)</f>
        <v>22240</v>
      </c>
      <c r="F534" s="89">
        <f>SUM(F536)</f>
        <v>22240</v>
      </c>
      <c r="G534" s="89">
        <f>SUM(G536)</f>
        <v>20850</v>
      </c>
      <c r="H534" s="37">
        <f>SUM(G534/F534)*100</f>
        <v>93.75</v>
      </c>
      <c r="I534" s="89">
        <f>SUM(I536)</f>
        <v>20850</v>
      </c>
      <c r="J534" s="89">
        <f>SUM(J536)</f>
        <v>17120</v>
      </c>
      <c r="K534" s="89">
        <f>SUM(J534/I534)*100</f>
        <v>82.11031175059952</v>
      </c>
    </row>
    <row r="535" spans="1:11" ht="15.75">
      <c r="A535" s="17"/>
      <c r="B535" s="88" t="s">
        <v>4</v>
      </c>
      <c r="C535" s="66"/>
      <c r="D535" s="56"/>
      <c r="E535" s="67"/>
      <c r="F535" s="67"/>
      <c r="G535" s="67"/>
      <c r="H535" s="67"/>
      <c r="I535" s="67"/>
      <c r="J535" s="67"/>
      <c r="K535" s="120"/>
    </row>
    <row r="536" spans="1:11" ht="30.75">
      <c r="A536" s="17"/>
      <c r="B536" s="65" t="s">
        <v>232</v>
      </c>
      <c r="C536" s="66"/>
      <c r="D536" s="56"/>
      <c r="E536" s="67">
        <v>22240</v>
      </c>
      <c r="F536" s="67">
        <v>22240</v>
      </c>
      <c r="G536" s="67">
        <v>20850</v>
      </c>
      <c r="H536" s="42">
        <f>SUM(G536/F536)*100</f>
        <v>93.75</v>
      </c>
      <c r="I536" s="67">
        <v>20850</v>
      </c>
      <c r="J536" s="67">
        <v>17120</v>
      </c>
      <c r="K536" s="42">
        <f>SUM(J536/I536)*100</f>
        <v>82.11031175059952</v>
      </c>
    </row>
    <row r="537" spans="1:11" ht="12.75" customHeight="1">
      <c r="A537" s="17"/>
      <c r="B537" s="47"/>
      <c r="C537" s="48"/>
      <c r="D537" s="56"/>
      <c r="E537" s="50"/>
      <c r="F537" s="50"/>
      <c r="G537" s="50"/>
      <c r="H537" s="50"/>
      <c r="I537" s="50"/>
      <c r="J537" s="50"/>
      <c r="K537" s="229"/>
    </row>
    <row r="538" spans="1:11" ht="30" customHeight="1">
      <c r="A538" s="58">
        <v>85220</v>
      </c>
      <c r="B538" s="136" t="s">
        <v>289</v>
      </c>
      <c r="C538" s="32">
        <f>SUM(C540)</f>
        <v>85000</v>
      </c>
      <c r="D538" s="60" t="e">
        <f>(C538/#REF!)*100</f>
        <v>#REF!</v>
      </c>
      <c r="E538" s="34">
        <f>SUM(E540)</f>
        <v>85000</v>
      </c>
      <c r="F538" s="34">
        <f>SUM(F540)</f>
        <v>85000</v>
      </c>
      <c r="G538" s="34">
        <f>SUM(G540)</f>
        <v>63191.95</v>
      </c>
      <c r="H538" s="34">
        <f>SUM(G538/F538)*100</f>
        <v>74.34347058823529</v>
      </c>
      <c r="I538" s="34">
        <f>SUM(I540)</f>
        <v>85000</v>
      </c>
      <c r="J538" s="34">
        <f>SUM(J540)</f>
        <v>85000</v>
      </c>
      <c r="K538" s="34">
        <f>SUM(J538/I538)*100</f>
        <v>100</v>
      </c>
    </row>
    <row r="539" spans="1:11" ht="15.75">
      <c r="A539" s="118"/>
      <c r="B539" s="88"/>
      <c r="C539" s="35"/>
      <c r="D539" s="56"/>
      <c r="E539" s="37"/>
      <c r="F539" s="37"/>
      <c r="G539" s="37"/>
      <c r="H539" s="37"/>
      <c r="I539" s="37"/>
      <c r="J539" s="37"/>
      <c r="K539" s="193"/>
    </row>
    <row r="540" spans="1:11" ht="30.75">
      <c r="A540" s="118"/>
      <c r="B540" s="65" t="s">
        <v>154</v>
      </c>
      <c r="C540" s="66">
        <v>85000</v>
      </c>
      <c r="D540" s="56" t="e">
        <f>(C540/#REF!)*100</f>
        <v>#REF!</v>
      </c>
      <c r="E540" s="67">
        <v>85000</v>
      </c>
      <c r="F540" s="67">
        <v>85000</v>
      </c>
      <c r="G540" s="67">
        <v>63191.95</v>
      </c>
      <c r="H540" s="67">
        <f>SUM(G540/F540)*100</f>
        <v>74.34347058823529</v>
      </c>
      <c r="I540" s="67">
        <v>85000</v>
      </c>
      <c r="J540" s="67">
        <f>90000-5000</f>
        <v>85000</v>
      </c>
      <c r="K540" s="67">
        <f>SUM(J540/I540)*100</f>
        <v>100</v>
      </c>
    </row>
    <row r="541" spans="1:11" ht="15.75">
      <c r="A541" s="118"/>
      <c r="B541" s="65" t="s">
        <v>4</v>
      </c>
      <c r="C541" s="66"/>
      <c r="D541" s="56"/>
      <c r="E541" s="67"/>
      <c r="F541" s="67"/>
      <c r="G541" s="67"/>
      <c r="H541" s="67"/>
      <c r="I541" s="67"/>
      <c r="J541" s="67"/>
      <c r="K541" s="120"/>
    </row>
    <row r="542" spans="1:11" ht="15.75">
      <c r="A542" s="118"/>
      <c r="B542" s="64" t="s">
        <v>106</v>
      </c>
      <c r="C542" s="40">
        <v>67216</v>
      </c>
      <c r="D542" s="41" t="e">
        <f>(C542/#REF!)*100</f>
        <v>#REF!</v>
      </c>
      <c r="E542" s="42">
        <v>78120</v>
      </c>
      <c r="F542" s="42">
        <v>78120</v>
      </c>
      <c r="G542" s="42">
        <v>58659.5</v>
      </c>
      <c r="H542" s="42">
        <f>SUM(G542/F542)*100</f>
        <v>75.0889656938044</v>
      </c>
      <c r="I542" s="42">
        <v>78120</v>
      </c>
      <c r="J542" s="42">
        <v>83160</v>
      </c>
      <c r="K542" s="42">
        <f>SUM(J542/I542)*100</f>
        <v>106.4516129032258</v>
      </c>
    </row>
    <row r="543" spans="1:11" ht="12.75" customHeight="1">
      <c r="A543" s="17"/>
      <c r="B543" s="17"/>
      <c r="C543" s="55"/>
      <c r="D543" s="56"/>
      <c r="E543" s="57"/>
      <c r="F543" s="57"/>
      <c r="G543" s="57"/>
      <c r="H543" s="57"/>
      <c r="I543" s="57"/>
      <c r="J543" s="57"/>
      <c r="K543" s="193"/>
    </row>
    <row r="544" spans="1:11" ht="31.5">
      <c r="A544" s="58">
        <v>85228</v>
      </c>
      <c r="B544" s="108" t="s">
        <v>290</v>
      </c>
      <c r="C544" s="32">
        <f>SUM(C546,C547)</f>
        <v>178000</v>
      </c>
      <c r="D544" s="33" t="e">
        <f>(C544/#REF!)*100</f>
        <v>#REF!</v>
      </c>
      <c r="E544" s="34">
        <f>SUM(E546,E547)</f>
        <v>171000</v>
      </c>
      <c r="F544" s="34">
        <f>SUM(F546,F547)</f>
        <v>171000</v>
      </c>
      <c r="G544" s="34">
        <f>SUM(G546,G547)</f>
        <v>140064.86</v>
      </c>
      <c r="H544" s="34">
        <f>SUM(G544/F544)*100</f>
        <v>81.90927485380116</v>
      </c>
      <c r="I544" s="34">
        <f>SUM(I546,I547)</f>
        <v>171000</v>
      </c>
      <c r="J544" s="34">
        <f>SUM(J546,J547)</f>
        <v>176000</v>
      </c>
      <c r="K544" s="34">
        <f>SUM(J544/I544)*100</f>
        <v>102.92397660818713</v>
      </c>
    </row>
    <row r="545" spans="1:11" ht="12.75" customHeight="1">
      <c r="A545" s="17"/>
      <c r="B545" s="17"/>
      <c r="C545" s="35"/>
      <c r="D545" s="94"/>
      <c r="E545" s="37"/>
      <c r="F545" s="37"/>
      <c r="G545" s="37"/>
      <c r="H545" s="37"/>
      <c r="I545" s="37"/>
      <c r="J545" s="37"/>
      <c r="K545" s="193"/>
    </row>
    <row r="546" spans="1:11" ht="15.75">
      <c r="A546" s="17"/>
      <c r="B546" s="38" t="s">
        <v>7</v>
      </c>
      <c r="C546" s="40">
        <v>152000</v>
      </c>
      <c r="D546" s="41" t="e">
        <f>(C546/#REF!)*100</f>
        <v>#REF!</v>
      </c>
      <c r="E546" s="42">
        <v>145000</v>
      </c>
      <c r="F546" s="42">
        <v>145000</v>
      </c>
      <c r="G546" s="42">
        <v>120564.86</v>
      </c>
      <c r="H546" s="42">
        <f>SUM(G546/F546)*100</f>
        <v>83.14817931034483</v>
      </c>
      <c r="I546" s="42">
        <v>145000</v>
      </c>
      <c r="J546" s="42">
        <f>250000-70000-30000</f>
        <v>150000</v>
      </c>
      <c r="K546" s="42">
        <f>SUM(J546/I546)*100</f>
        <v>103.44827586206897</v>
      </c>
    </row>
    <row r="547" spans="1:11" ht="15.75">
      <c r="A547" s="17"/>
      <c r="B547" s="38" t="s">
        <v>8</v>
      </c>
      <c r="C547" s="40">
        <v>26000</v>
      </c>
      <c r="D547" s="41" t="e">
        <f>(C547/#REF!)*100</f>
        <v>#REF!</v>
      </c>
      <c r="E547" s="42">
        <v>26000</v>
      </c>
      <c r="F547" s="42">
        <v>26000</v>
      </c>
      <c r="G547" s="42">
        <v>19500</v>
      </c>
      <c r="H547" s="42">
        <f>SUM(G547/F547)*100</f>
        <v>75</v>
      </c>
      <c r="I547" s="42">
        <v>26000</v>
      </c>
      <c r="J547" s="42">
        <v>26000</v>
      </c>
      <c r="K547" s="42">
        <f>SUM(J547/I547)*100</f>
        <v>100</v>
      </c>
    </row>
    <row r="548" spans="1:11" ht="15.75">
      <c r="A548" s="17"/>
      <c r="B548" s="142"/>
      <c r="C548" s="113"/>
      <c r="D548" s="114"/>
      <c r="E548" s="101"/>
      <c r="F548" s="101"/>
      <c r="G548" s="101"/>
      <c r="H548" s="101"/>
      <c r="I548" s="101"/>
      <c r="J548" s="101"/>
      <c r="K548" s="77"/>
    </row>
    <row r="549" spans="1:11" ht="15.75">
      <c r="A549" s="59">
        <v>85278</v>
      </c>
      <c r="B549" s="189" t="s">
        <v>264</v>
      </c>
      <c r="C549" s="223"/>
      <c r="D549" s="92"/>
      <c r="E549" s="221">
        <f>SUM(E551)</f>
        <v>0</v>
      </c>
      <c r="F549" s="221">
        <f>SUM(F551)</f>
        <v>3639198</v>
      </c>
      <c r="G549" s="221">
        <f>SUM(G551)</f>
        <v>2479392.42</v>
      </c>
      <c r="H549" s="34">
        <f>SUM(G549/F549)*100</f>
        <v>68.13018747537231</v>
      </c>
      <c r="I549" s="221">
        <f>SUM(I551)</f>
        <v>3639198</v>
      </c>
      <c r="J549" s="221">
        <f>SUM(J551)</f>
        <v>0</v>
      </c>
      <c r="K549" s="34">
        <f>SUM(J549/I549)*100</f>
        <v>0</v>
      </c>
    </row>
    <row r="550" spans="1:11" ht="15.75">
      <c r="A550" s="17"/>
      <c r="B550" s="142"/>
      <c r="C550" s="113"/>
      <c r="D550" s="114"/>
      <c r="E550" s="67"/>
      <c r="F550" s="67"/>
      <c r="G550" s="67"/>
      <c r="H550" s="67"/>
      <c r="I550" s="67"/>
      <c r="J550" s="67"/>
      <c r="K550" s="120"/>
    </row>
    <row r="551" spans="1:11" ht="45.75">
      <c r="A551" s="17"/>
      <c r="B551" s="188" t="s">
        <v>291</v>
      </c>
      <c r="C551" s="223"/>
      <c r="D551" s="92"/>
      <c r="E551" s="42">
        <v>0</v>
      </c>
      <c r="F551" s="42">
        <v>3639198</v>
      </c>
      <c r="G551" s="42">
        <v>2479392.42</v>
      </c>
      <c r="H551" s="42">
        <f>SUM(G551/F551)*100</f>
        <v>68.13018747537231</v>
      </c>
      <c r="I551" s="42">
        <v>3639198</v>
      </c>
      <c r="J551" s="42">
        <v>0</v>
      </c>
      <c r="K551" s="42">
        <f>SUM(J551/I551)*100</f>
        <v>0</v>
      </c>
    </row>
    <row r="552" spans="1:11" ht="15.75">
      <c r="A552" s="17"/>
      <c r="B552" s="126"/>
      <c r="C552" s="99"/>
      <c r="D552" s="100"/>
      <c r="E552" s="101"/>
      <c r="F552" s="101"/>
      <c r="G552" s="101"/>
      <c r="H552" s="101"/>
      <c r="I552" s="101"/>
      <c r="J552" s="101"/>
      <c r="K552" s="77"/>
    </row>
    <row r="553" spans="1:11" ht="15.75">
      <c r="A553" s="59">
        <v>85295</v>
      </c>
      <c r="B553" s="136" t="s">
        <v>35</v>
      </c>
      <c r="C553" s="40"/>
      <c r="D553" s="41"/>
      <c r="E553" s="221">
        <f>SUM(E555)</f>
        <v>0</v>
      </c>
      <c r="F553" s="221">
        <f>SUM(F555:F556)</f>
        <v>900000</v>
      </c>
      <c r="G553" s="221">
        <f>SUM(G555:G556)</f>
        <v>390551.39</v>
      </c>
      <c r="H553" s="34">
        <f>SUM(G553/F553)*100</f>
        <v>43.39459888888889</v>
      </c>
      <c r="I553" s="221">
        <f>SUM(I555:I556)</f>
        <v>900000</v>
      </c>
      <c r="J553" s="221">
        <f>SUM(J555:J556)</f>
        <v>361000</v>
      </c>
      <c r="K553" s="34">
        <f>SUM(J553/I553)*100</f>
        <v>40.11111111111111</v>
      </c>
    </row>
    <row r="554" spans="1:11" ht="15.75">
      <c r="A554" s="17"/>
      <c r="B554" s="65"/>
      <c r="C554" s="66"/>
      <c r="D554" s="56"/>
      <c r="E554" s="67"/>
      <c r="F554" s="67"/>
      <c r="G554" s="67"/>
      <c r="H554" s="67"/>
      <c r="I554" s="67"/>
      <c r="J554" s="67"/>
      <c r="K554" s="120"/>
    </row>
    <row r="555" spans="1:11" ht="30.75">
      <c r="A555" s="17"/>
      <c r="B555" s="64" t="s">
        <v>276</v>
      </c>
      <c r="C555" s="40"/>
      <c r="D555" s="41"/>
      <c r="E555" s="42">
        <v>0</v>
      </c>
      <c r="F555" s="42">
        <v>450000</v>
      </c>
      <c r="G555" s="42">
        <v>300774.89</v>
      </c>
      <c r="H555" s="42">
        <f>SUM(G555/F555)*100</f>
        <v>66.83886444444444</v>
      </c>
      <c r="I555" s="42">
        <v>450000</v>
      </c>
      <c r="J555" s="42">
        <v>361000</v>
      </c>
      <c r="K555" s="42">
        <f>SUM(J555/I555)*100</f>
        <v>80.22222222222221</v>
      </c>
    </row>
    <row r="556" spans="1:11" ht="15.75">
      <c r="A556" s="59"/>
      <c r="B556" s="125" t="s">
        <v>368</v>
      </c>
      <c r="C556" s="106"/>
      <c r="D556" s="95"/>
      <c r="E556" s="107"/>
      <c r="F556" s="107">
        <f>402750+47250</f>
        <v>450000</v>
      </c>
      <c r="G556" s="107">
        <v>89776.5</v>
      </c>
      <c r="H556" s="42">
        <f>SUM(G556/F556)*100</f>
        <v>19.950333333333333</v>
      </c>
      <c r="I556" s="107">
        <v>450000</v>
      </c>
      <c r="J556" s="107">
        <v>0</v>
      </c>
      <c r="K556" s="107">
        <v>0</v>
      </c>
    </row>
    <row r="557" spans="1:11" ht="16.5" thickBot="1">
      <c r="A557" s="43"/>
      <c r="B557" s="142"/>
      <c r="C557" s="113"/>
      <c r="D557" s="114"/>
      <c r="E557" s="115"/>
      <c r="F557" s="115"/>
      <c r="G557" s="115"/>
      <c r="H557" s="115"/>
      <c r="I557" s="115"/>
      <c r="J557" s="115"/>
      <c r="K557" s="230"/>
    </row>
    <row r="558" spans="1:11" ht="15.75">
      <c r="A558" s="2"/>
      <c r="B558" s="3"/>
      <c r="C558" s="4"/>
      <c r="D558" s="5"/>
      <c r="E558" s="4"/>
      <c r="F558" s="4"/>
      <c r="G558" s="4"/>
      <c r="H558" s="4"/>
      <c r="I558" s="4"/>
      <c r="J558" s="4"/>
      <c r="K558" s="243"/>
    </row>
    <row r="559" spans="1:11" ht="15.75">
      <c r="A559" s="6" t="s">
        <v>31</v>
      </c>
      <c r="B559" s="7" t="s">
        <v>0</v>
      </c>
      <c r="C559" s="8" t="s">
        <v>167</v>
      </c>
      <c r="D559" s="8" t="s">
        <v>30</v>
      </c>
      <c r="E559" s="8" t="s">
        <v>234</v>
      </c>
      <c r="F559" s="8" t="s">
        <v>234</v>
      </c>
      <c r="G559" s="8" t="s">
        <v>251</v>
      </c>
      <c r="H559" s="8" t="s">
        <v>30</v>
      </c>
      <c r="I559" s="8" t="s">
        <v>297</v>
      </c>
      <c r="J559" s="8" t="s">
        <v>300</v>
      </c>
      <c r="K559" s="244" t="s">
        <v>30</v>
      </c>
    </row>
    <row r="560" spans="1:11" ht="15.75">
      <c r="A560" s="6" t="s">
        <v>33</v>
      </c>
      <c r="B560" s="9"/>
      <c r="C560" s="8" t="s">
        <v>166</v>
      </c>
      <c r="D560" s="10" t="s">
        <v>12</v>
      </c>
      <c r="E560" s="8" t="s">
        <v>250</v>
      </c>
      <c r="F560" s="8" t="s">
        <v>296</v>
      </c>
      <c r="G560" s="8" t="s">
        <v>296</v>
      </c>
      <c r="H560" s="8" t="s">
        <v>12</v>
      </c>
      <c r="I560" s="8" t="s">
        <v>298</v>
      </c>
      <c r="J560" s="8" t="s">
        <v>301</v>
      </c>
      <c r="K560" s="244" t="s">
        <v>12</v>
      </c>
    </row>
    <row r="561" spans="1:11" ht="16.5" thickBot="1">
      <c r="A561" s="11"/>
      <c r="B561" s="12"/>
      <c r="C561" s="13"/>
      <c r="D561" s="13"/>
      <c r="E561" s="13" t="s">
        <v>233</v>
      </c>
      <c r="F561" s="13" t="s">
        <v>233</v>
      </c>
      <c r="G561" s="13" t="s">
        <v>233</v>
      </c>
      <c r="H561" s="13"/>
      <c r="I561" s="13" t="s">
        <v>299</v>
      </c>
      <c r="J561" s="13" t="s">
        <v>233</v>
      </c>
      <c r="K561" s="245"/>
    </row>
    <row r="562" spans="1:11" ht="12.75" customHeight="1">
      <c r="A562" s="47"/>
      <c r="B562" s="70"/>
      <c r="C562" s="48"/>
      <c r="D562" s="56"/>
      <c r="E562" s="50"/>
      <c r="F562" s="50"/>
      <c r="G562" s="50"/>
      <c r="H562" s="50"/>
      <c r="I562" s="50"/>
      <c r="J562" s="50"/>
      <c r="K562" s="229"/>
    </row>
    <row r="563" spans="1:11" ht="32.25" thickBot="1">
      <c r="A563" s="51">
        <v>853</v>
      </c>
      <c r="B563" s="167" t="s">
        <v>73</v>
      </c>
      <c r="C563" s="53" t="e">
        <f>SUM(C565,#REF!)</f>
        <v>#REF!</v>
      </c>
      <c r="D563" s="24" t="e">
        <f>(C563/#REF!)*100</f>
        <v>#REF!</v>
      </c>
      <c r="E563" s="54">
        <f>SUM(E565,E575)</f>
        <v>925400</v>
      </c>
      <c r="F563" s="54">
        <f>SUM(F565,F575)</f>
        <v>1020830</v>
      </c>
      <c r="G563" s="54">
        <f>SUM(G565,G575)</f>
        <v>611698.64</v>
      </c>
      <c r="H563" s="24">
        <f>SUM(G563/F563)*100</f>
        <v>59.92169509124928</v>
      </c>
      <c r="I563" s="54">
        <f>SUM(I565,I575)</f>
        <v>990830</v>
      </c>
      <c r="J563" s="54">
        <f>SUM(J565,J575)</f>
        <v>1074000</v>
      </c>
      <c r="K563" s="24">
        <f>SUM(J563/I563)*100</f>
        <v>108.3939727299335</v>
      </c>
    </row>
    <row r="564" spans="1:11" ht="12.75" customHeight="1" thickTop="1">
      <c r="A564" s="17"/>
      <c r="B564" s="70"/>
      <c r="C564" s="55"/>
      <c r="D564" s="56"/>
      <c r="E564" s="57"/>
      <c r="F564" s="57"/>
      <c r="G564" s="57"/>
      <c r="H564" s="57"/>
      <c r="I564" s="57"/>
      <c r="J564" s="57"/>
      <c r="K564" s="193"/>
    </row>
    <row r="565" spans="1:11" ht="15.75">
      <c r="A565" s="58">
        <v>85305</v>
      </c>
      <c r="B565" s="59" t="s">
        <v>74</v>
      </c>
      <c r="C565" s="32" t="e">
        <f>SUM(C567,#REF!)</f>
        <v>#REF!</v>
      </c>
      <c r="D565" s="60" t="e">
        <f>(C565/#REF!)*100</f>
        <v>#REF!</v>
      </c>
      <c r="E565" s="34">
        <f>SUM(E567)</f>
        <v>925400</v>
      </c>
      <c r="F565" s="34">
        <f>SUM(F567)</f>
        <v>942400</v>
      </c>
      <c r="G565" s="34">
        <f>SUM(G567)</f>
        <v>611698.64</v>
      </c>
      <c r="H565" s="34">
        <f>SUM(G565/F565)*100</f>
        <v>64.90859932088286</v>
      </c>
      <c r="I565" s="34">
        <f>SUM(I567)</f>
        <v>912400</v>
      </c>
      <c r="J565" s="34">
        <f>SUM(J567)</f>
        <v>1074000</v>
      </c>
      <c r="K565" s="34">
        <f>SUM(J565/I565)*100</f>
        <v>117.71153003068831</v>
      </c>
    </row>
    <row r="566" spans="1:11" ht="12.75" customHeight="1">
      <c r="A566" s="17"/>
      <c r="B566" s="17"/>
      <c r="C566" s="48"/>
      <c r="D566" s="56"/>
      <c r="E566" s="50"/>
      <c r="F566" s="50"/>
      <c r="G566" s="50"/>
      <c r="H566" s="50"/>
      <c r="I566" s="50"/>
      <c r="J566" s="50"/>
      <c r="K566" s="229"/>
    </row>
    <row r="567" spans="1:11" ht="15.75">
      <c r="A567" s="17"/>
      <c r="B567" s="38" t="s">
        <v>75</v>
      </c>
      <c r="C567" s="40">
        <f>SUM(C568:C569)</f>
        <v>929200</v>
      </c>
      <c r="D567" s="41" t="e">
        <f>(C567/#REF!)*100</f>
        <v>#REF!</v>
      </c>
      <c r="E567" s="42">
        <f>SUM(E568:E569)</f>
        <v>925400</v>
      </c>
      <c r="F567" s="42">
        <f>SUM(F568:F570)</f>
        <v>942400</v>
      </c>
      <c r="G567" s="42">
        <f>SUM(G568:G570)</f>
        <v>611698.64</v>
      </c>
      <c r="H567" s="42">
        <f>SUM(G567/F567)*100</f>
        <v>64.90859932088286</v>
      </c>
      <c r="I567" s="42">
        <f>SUM(I568:I570)</f>
        <v>912400</v>
      </c>
      <c r="J567" s="42">
        <f>SUM(J568:J570)</f>
        <v>1074000</v>
      </c>
      <c r="K567" s="42">
        <f>SUM(J567/I567)*100</f>
        <v>117.71153003068831</v>
      </c>
    </row>
    <row r="568" spans="1:11" ht="15.75">
      <c r="A568" s="173"/>
      <c r="B568" s="63" t="s">
        <v>127</v>
      </c>
      <c r="C568" s="66">
        <v>761400</v>
      </c>
      <c r="D568" s="56" t="e">
        <f>(C568/#REF!)*100</f>
        <v>#REF!</v>
      </c>
      <c r="E568" s="67">
        <v>755000</v>
      </c>
      <c r="F568" s="67">
        <v>755000</v>
      </c>
      <c r="G568" s="67">
        <v>510330.7</v>
      </c>
      <c r="H568" s="67">
        <f>SUM(G568/F568)*100</f>
        <v>67.5934701986755</v>
      </c>
      <c r="I568" s="67">
        <v>755000</v>
      </c>
      <c r="J568" s="67">
        <f>826200</f>
        <v>826200</v>
      </c>
      <c r="K568" s="67">
        <f>SUM(J568/I568)*100</f>
        <v>109.43046357615893</v>
      </c>
    </row>
    <row r="569" spans="1:11" ht="15.75">
      <c r="A569" s="17"/>
      <c r="B569" s="38" t="s">
        <v>128</v>
      </c>
      <c r="C569" s="40">
        <v>167800</v>
      </c>
      <c r="D569" s="41" t="e">
        <f>(C569/#REF!)*100</f>
        <v>#REF!</v>
      </c>
      <c r="E569" s="42">
        <v>170400</v>
      </c>
      <c r="F569" s="42">
        <v>187400</v>
      </c>
      <c r="G569" s="42">
        <v>101367.94</v>
      </c>
      <c r="H569" s="42">
        <f>SUM(G569/F569)*100</f>
        <v>54.09175026680897</v>
      </c>
      <c r="I569" s="42">
        <f>157400</f>
        <v>157400</v>
      </c>
      <c r="J569" s="42">
        <f>422700-155900-26000</f>
        <v>240800</v>
      </c>
      <c r="K569" s="42">
        <f>SUM(J569/I569)*100</f>
        <v>152.98602287166455</v>
      </c>
    </row>
    <row r="570" spans="1:11" ht="15.75">
      <c r="A570" s="17"/>
      <c r="B570" s="159" t="s">
        <v>179</v>
      </c>
      <c r="C570" s="66"/>
      <c r="D570" s="56"/>
      <c r="E570" s="67"/>
      <c r="F570" s="89">
        <f>SUM(F572:F573)</f>
        <v>0</v>
      </c>
      <c r="G570" s="89">
        <f>SUM(G572:G573)</f>
        <v>0</v>
      </c>
      <c r="H570" s="89">
        <v>0</v>
      </c>
      <c r="I570" s="89">
        <f>SUM(I572:I573)</f>
        <v>0</v>
      </c>
      <c r="J570" s="89">
        <f>SUM(J572:J573)</f>
        <v>7000</v>
      </c>
      <c r="K570" s="89">
        <v>0</v>
      </c>
    </row>
    <row r="571" spans="1:11" ht="15.75">
      <c r="A571" s="17"/>
      <c r="B571" s="159" t="s">
        <v>4</v>
      </c>
      <c r="C571" s="66"/>
      <c r="D571" s="56"/>
      <c r="E571" s="67"/>
      <c r="F571" s="67"/>
      <c r="G571" s="67"/>
      <c r="H571" s="67"/>
      <c r="I571" s="67"/>
      <c r="J571" s="67"/>
      <c r="K571" s="67"/>
    </row>
    <row r="572" spans="1:11" ht="15.75">
      <c r="A572" s="17"/>
      <c r="B572" s="86" t="s">
        <v>369</v>
      </c>
      <c r="C572" s="66"/>
      <c r="D572" s="56"/>
      <c r="E572" s="67"/>
      <c r="F572" s="42">
        <v>0</v>
      </c>
      <c r="G572" s="42">
        <v>0</v>
      </c>
      <c r="H572" s="42">
        <v>0</v>
      </c>
      <c r="I572" s="42">
        <v>0</v>
      </c>
      <c r="J572" s="42">
        <v>0</v>
      </c>
      <c r="K572" s="42">
        <v>0</v>
      </c>
    </row>
    <row r="573" spans="1:11" ht="15.75">
      <c r="A573" s="17"/>
      <c r="B573" s="86" t="s">
        <v>370</v>
      </c>
      <c r="C573" s="66"/>
      <c r="D573" s="56"/>
      <c r="E573" s="67"/>
      <c r="F573" s="67">
        <v>0</v>
      </c>
      <c r="G573" s="67">
        <v>0</v>
      </c>
      <c r="H573" s="67">
        <v>0</v>
      </c>
      <c r="I573" s="67">
        <v>0</v>
      </c>
      <c r="J573" s="67">
        <v>7000</v>
      </c>
      <c r="K573" s="67">
        <v>0</v>
      </c>
    </row>
    <row r="574" spans="1:11" ht="15.75">
      <c r="A574" s="17"/>
      <c r="B574" s="124"/>
      <c r="C574" s="99"/>
      <c r="D574" s="100"/>
      <c r="E574" s="101"/>
      <c r="F574" s="101"/>
      <c r="G574" s="101"/>
      <c r="H574" s="101"/>
      <c r="I574" s="101"/>
      <c r="J574" s="101"/>
      <c r="K574" s="77"/>
    </row>
    <row r="575" spans="1:11" ht="15.75">
      <c r="A575" s="59">
        <v>85395</v>
      </c>
      <c r="B575" s="176" t="s">
        <v>35</v>
      </c>
      <c r="C575" s="40"/>
      <c r="D575" s="41"/>
      <c r="E575" s="221">
        <f>SUM(E577)</f>
        <v>0</v>
      </c>
      <c r="F575" s="221">
        <f>SUM(F577)</f>
        <v>78430</v>
      </c>
      <c r="G575" s="221">
        <f>SUM(G577)</f>
        <v>0</v>
      </c>
      <c r="H575" s="34">
        <f>SUM(G575/F575)*100</f>
        <v>0</v>
      </c>
      <c r="I575" s="221">
        <f>SUM(I577)</f>
        <v>78430</v>
      </c>
      <c r="J575" s="221">
        <f>SUM(J577)</f>
        <v>0</v>
      </c>
      <c r="K575" s="34">
        <f>SUM(J575/I575)*100</f>
        <v>0</v>
      </c>
    </row>
    <row r="576" spans="1:11" ht="15.75">
      <c r="A576" s="17"/>
      <c r="B576" s="63"/>
      <c r="C576" s="66"/>
      <c r="D576" s="56"/>
      <c r="E576" s="67"/>
      <c r="F576" s="67"/>
      <c r="G576" s="67"/>
      <c r="H576" s="67"/>
      <c r="I576" s="67"/>
      <c r="J576" s="67"/>
      <c r="K576" s="120"/>
    </row>
    <row r="577" spans="1:11" ht="45.75">
      <c r="A577" s="59"/>
      <c r="B577" s="64" t="s">
        <v>277</v>
      </c>
      <c r="C577" s="40"/>
      <c r="D577" s="41"/>
      <c r="E577" s="42">
        <v>0</v>
      </c>
      <c r="F577" s="42">
        <v>78430</v>
      </c>
      <c r="G577" s="42">
        <v>0</v>
      </c>
      <c r="H577" s="42">
        <f>SUM(G577/F577)*100</f>
        <v>0</v>
      </c>
      <c r="I577" s="42">
        <v>78430</v>
      </c>
      <c r="J577" s="42">
        <v>0</v>
      </c>
      <c r="K577" s="42">
        <f>SUM(J577/I577)*100</f>
        <v>0</v>
      </c>
    </row>
    <row r="578" spans="1:11" ht="15.75">
      <c r="A578" s="43"/>
      <c r="B578" s="121"/>
      <c r="C578" s="150"/>
      <c r="D578" s="114"/>
      <c r="E578" s="151"/>
      <c r="F578" s="151"/>
      <c r="G578" s="151"/>
      <c r="H578" s="151"/>
      <c r="I578" s="151"/>
      <c r="J578" s="151"/>
      <c r="K578" s="231"/>
    </row>
    <row r="579" spans="1:11" ht="12.75" customHeight="1">
      <c r="A579" s="47"/>
      <c r="B579" s="47"/>
      <c r="C579" s="48"/>
      <c r="D579" s="56"/>
      <c r="E579" s="50"/>
      <c r="F579" s="50"/>
      <c r="G579" s="50"/>
      <c r="H579" s="50"/>
      <c r="I579" s="50"/>
      <c r="J579" s="50"/>
      <c r="K579" s="229"/>
    </row>
    <row r="580" spans="1:11" ht="16.5" thickBot="1">
      <c r="A580" s="51">
        <v>854</v>
      </c>
      <c r="B580" s="167" t="s">
        <v>76</v>
      </c>
      <c r="C580" s="53" t="e">
        <f>SUM(C582,C589,#REF!)</f>
        <v>#REF!</v>
      </c>
      <c r="D580" s="174" t="e">
        <f>(C580/#REF!)*100</f>
        <v>#REF!</v>
      </c>
      <c r="E580" s="54">
        <f>SUM(E582,E589)</f>
        <v>468761</v>
      </c>
      <c r="F580" s="54">
        <f>SUM(F582,F589)</f>
        <v>832667</v>
      </c>
      <c r="G580" s="54">
        <f>SUM(G582,G589)</f>
        <v>511451.17000000004</v>
      </c>
      <c r="H580" s="24">
        <f>SUM(G580/F580)*100</f>
        <v>61.423254434245635</v>
      </c>
      <c r="I580" s="54">
        <f>SUM(I582,I589)</f>
        <v>712195</v>
      </c>
      <c r="J580" s="54">
        <f>SUM(J582,J589)</f>
        <v>495949</v>
      </c>
      <c r="K580" s="24">
        <f>SUM(J580/I580)*100</f>
        <v>69.63668658162442</v>
      </c>
    </row>
    <row r="581" spans="1:11" ht="12.75" customHeight="1" thickTop="1">
      <c r="A581" s="17"/>
      <c r="B581" s="175"/>
      <c r="C581" s="35"/>
      <c r="D581" s="94"/>
      <c r="E581" s="37"/>
      <c r="F581" s="37"/>
      <c r="G581" s="37"/>
      <c r="H581" s="37"/>
      <c r="I581" s="37"/>
      <c r="J581" s="37"/>
      <c r="K581" s="193"/>
    </row>
    <row r="582" spans="1:11" ht="15.75">
      <c r="A582" s="58">
        <v>85401</v>
      </c>
      <c r="B582" s="155" t="s">
        <v>77</v>
      </c>
      <c r="C582" s="32">
        <f>SUM(C584:C584)</f>
        <v>418912</v>
      </c>
      <c r="D582" s="33" t="e">
        <f>(C582/#REF!)*100</f>
        <v>#REF!</v>
      </c>
      <c r="E582" s="34">
        <f>SUM(E584:E584)</f>
        <v>438761</v>
      </c>
      <c r="F582" s="34">
        <f>SUM(F584:F584)</f>
        <v>462155</v>
      </c>
      <c r="G582" s="34">
        <f>SUM(G584:G584)</f>
        <v>314917.89</v>
      </c>
      <c r="H582" s="34">
        <f>SUM(G582/F582)*100</f>
        <v>68.14118423472645</v>
      </c>
      <c r="I582" s="34">
        <f>SUM(I584:I584)</f>
        <v>462155</v>
      </c>
      <c r="J582" s="34">
        <f>SUM(J584:J584)</f>
        <v>435949</v>
      </c>
      <c r="K582" s="34">
        <f>SUM(J582/I582)*100</f>
        <v>94.32960803193734</v>
      </c>
    </row>
    <row r="583" spans="1:11" ht="12.75" customHeight="1">
      <c r="A583" s="17"/>
      <c r="B583" s="70"/>
      <c r="C583" s="61"/>
      <c r="D583" s="94"/>
      <c r="E583" s="62"/>
      <c r="F583" s="62"/>
      <c r="G583" s="62"/>
      <c r="H583" s="62"/>
      <c r="I583" s="62"/>
      <c r="J583" s="62"/>
      <c r="K583" s="229"/>
    </row>
    <row r="584" spans="1:11" ht="15.75">
      <c r="A584" s="17"/>
      <c r="B584" s="90" t="s">
        <v>136</v>
      </c>
      <c r="C584" s="66">
        <f>SUM(C586:C587)</f>
        <v>418912</v>
      </c>
      <c r="D584" s="56" t="e">
        <f>(C584/#REF!)*100</f>
        <v>#REF!</v>
      </c>
      <c r="E584" s="67">
        <f>SUM(E586:E587)</f>
        <v>438761</v>
      </c>
      <c r="F584" s="67">
        <f>SUM(F586:F587)</f>
        <v>462155</v>
      </c>
      <c r="G584" s="67">
        <f>SUM(G586:G587)</f>
        <v>314917.89</v>
      </c>
      <c r="H584" s="67">
        <f>SUM(G584/F584)*100</f>
        <v>68.14118423472645</v>
      </c>
      <c r="I584" s="67">
        <f>SUM(I586:I587)</f>
        <v>462155</v>
      </c>
      <c r="J584" s="67">
        <f>SUM(J586:J587)</f>
        <v>435949</v>
      </c>
      <c r="K584" s="67">
        <f>SUM(J584/I584)*100</f>
        <v>94.32960803193734</v>
      </c>
    </row>
    <row r="585" spans="1:11" ht="15.75">
      <c r="A585" s="17"/>
      <c r="B585" s="90" t="s">
        <v>97</v>
      </c>
      <c r="C585" s="66"/>
      <c r="D585" s="56"/>
      <c r="E585" s="67"/>
      <c r="F585" s="67"/>
      <c r="G585" s="67"/>
      <c r="H585" s="67"/>
      <c r="I585" s="67"/>
      <c r="J585" s="67"/>
      <c r="K585" s="120"/>
    </row>
    <row r="586" spans="1:11" ht="15.75">
      <c r="A586" s="17"/>
      <c r="B586" s="90" t="s">
        <v>93</v>
      </c>
      <c r="C586" s="66">
        <v>384658</v>
      </c>
      <c r="D586" s="56" t="e">
        <f>(C586/#REF!)*100</f>
        <v>#REF!</v>
      </c>
      <c r="E586" s="67">
        <v>409502</v>
      </c>
      <c r="F586" s="67">
        <v>419446</v>
      </c>
      <c r="G586" s="67">
        <v>279415.83</v>
      </c>
      <c r="H586" s="67">
        <f>SUM(G586/F586)*100</f>
        <v>66.61544751887013</v>
      </c>
      <c r="I586" s="67">
        <v>419446</v>
      </c>
      <c r="J586" s="67">
        <f>419613+8855</f>
        <v>428468</v>
      </c>
      <c r="K586" s="67">
        <f>SUM(J586/I586)*100</f>
        <v>102.15093242038307</v>
      </c>
    </row>
    <row r="587" spans="1:11" ht="15.75">
      <c r="A587" s="59"/>
      <c r="B587" s="38" t="s">
        <v>21</v>
      </c>
      <c r="C587" s="40">
        <v>34254</v>
      </c>
      <c r="D587" s="41" t="e">
        <f>(C587/#REF!)*100</f>
        <v>#REF!</v>
      </c>
      <c r="E587" s="42">
        <v>29259</v>
      </c>
      <c r="F587" s="42">
        <v>42709</v>
      </c>
      <c r="G587" s="42">
        <v>35502.06</v>
      </c>
      <c r="H587" s="42">
        <f>SUM(G587/F587)*100</f>
        <v>83.12547706572386</v>
      </c>
      <c r="I587" s="42">
        <v>42709</v>
      </c>
      <c r="J587" s="42">
        <f>29981-18000-4500</f>
        <v>7481</v>
      </c>
      <c r="K587" s="42">
        <f>SUM(J587/I587)*100</f>
        <v>17.516214381043806</v>
      </c>
    </row>
    <row r="588" spans="1:11" ht="15.75">
      <c r="A588" s="47"/>
      <c r="B588" s="47"/>
      <c r="C588" s="61"/>
      <c r="D588" s="85"/>
      <c r="E588" s="62"/>
      <c r="F588" s="62"/>
      <c r="G588" s="62"/>
      <c r="H588" s="62"/>
      <c r="I588" s="62"/>
      <c r="J588" s="62"/>
      <c r="K588" s="229"/>
    </row>
    <row r="589" spans="1:11" ht="15.75">
      <c r="A589" s="58">
        <v>85415</v>
      </c>
      <c r="B589" s="176" t="s">
        <v>108</v>
      </c>
      <c r="C589" s="32">
        <f>SUM(C591:C591)</f>
        <v>30000</v>
      </c>
      <c r="D589" s="33" t="e">
        <f>(C589/#REF!)*100</f>
        <v>#REF!</v>
      </c>
      <c r="E589" s="34">
        <f>SUM(E591:E592)</f>
        <v>30000</v>
      </c>
      <c r="F589" s="34">
        <f>SUM(F591:F594)</f>
        <v>370512</v>
      </c>
      <c r="G589" s="34">
        <f>SUM(G591:G594)</f>
        <v>196533.28000000003</v>
      </c>
      <c r="H589" s="34">
        <f>SUM(G589/F589)*100</f>
        <v>53.04370168847433</v>
      </c>
      <c r="I589" s="34">
        <f>SUM(I591:I594)</f>
        <v>250040</v>
      </c>
      <c r="J589" s="34">
        <f>SUM(J591:J594)</f>
        <v>60000</v>
      </c>
      <c r="K589" s="34">
        <f>SUM(J589/I589)*100</f>
        <v>23.99616061430171</v>
      </c>
    </row>
    <row r="590" spans="1:11" ht="15.75">
      <c r="A590" s="177"/>
      <c r="B590" s="178"/>
      <c r="C590" s="61"/>
      <c r="D590" s="94"/>
      <c r="E590" s="62"/>
      <c r="F590" s="62"/>
      <c r="G590" s="62"/>
      <c r="H590" s="62"/>
      <c r="I590" s="62"/>
      <c r="J590" s="62"/>
      <c r="K590" s="229"/>
    </row>
    <row r="591" spans="1:11" ht="30.75">
      <c r="A591" s="17"/>
      <c r="B591" s="64" t="s">
        <v>371</v>
      </c>
      <c r="C591" s="40">
        <v>30000</v>
      </c>
      <c r="D591" s="41" t="e">
        <f>(C591/#REF!)*100</f>
        <v>#REF!</v>
      </c>
      <c r="E591" s="42">
        <v>30000</v>
      </c>
      <c r="F591" s="42">
        <v>31700</v>
      </c>
      <c r="G591" s="42">
        <v>31380</v>
      </c>
      <c r="H591" s="42">
        <f>SUM(G591/F591)*100</f>
        <v>98.99053627760253</v>
      </c>
      <c r="I591" s="42">
        <v>31700</v>
      </c>
      <c r="J591" s="42">
        <v>31000</v>
      </c>
      <c r="K591" s="42">
        <f>SUM(J591/I591)*100</f>
        <v>97.79179810725552</v>
      </c>
    </row>
    <row r="592" spans="1:11" ht="15.75">
      <c r="A592" s="17"/>
      <c r="B592" s="125" t="s">
        <v>372</v>
      </c>
      <c r="C592" s="106"/>
      <c r="D592" s="95"/>
      <c r="E592" s="107">
        <v>0</v>
      </c>
      <c r="F592" s="107">
        <v>196359</v>
      </c>
      <c r="G592" s="107">
        <v>78923.58</v>
      </c>
      <c r="H592" s="42">
        <f>SUM(G592/F592)*100</f>
        <v>40.19351290238797</v>
      </c>
      <c r="I592" s="107">
        <v>120000</v>
      </c>
      <c r="J592" s="107">
        <v>29000</v>
      </c>
      <c r="K592" s="42">
        <f>SUM(J592/I592)*100</f>
        <v>24.166666666666668</v>
      </c>
    </row>
    <row r="593" spans="1:11" ht="15.75">
      <c r="A593" s="17"/>
      <c r="B593" s="125" t="s">
        <v>374</v>
      </c>
      <c r="C593" s="106"/>
      <c r="D593" s="95"/>
      <c r="E593" s="107"/>
      <c r="F593" s="107">
        <v>66000</v>
      </c>
      <c r="G593" s="107">
        <v>60000</v>
      </c>
      <c r="H593" s="42">
        <f>SUM(G593/F593)*100</f>
        <v>90.9090909090909</v>
      </c>
      <c r="I593" s="107">
        <v>66000</v>
      </c>
      <c r="J593" s="107">
        <v>0</v>
      </c>
      <c r="K593" s="42">
        <v>0</v>
      </c>
    </row>
    <row r="594" spans="1:11" ht="15.75">
      <c r="A594" s="59"/>
      <c r="B594" s="125" t="s">
        <v>373</v>
      </c>
      <c r="C594" s="106"/>
      <c r="D594" s="95"/>
      <c r="E594" s="107"/>
      <c r="F594" s="107">
        <f>63444+13009</f>
        <v>76453</v>
      </c>
      <c r="G594" s="107">
        <v>26229.7</v>
      </c>
      <c r="H594" s="42">
        <f>SUM(G594/F594)*100</f>
        <v>34.3082678246766</v>
      </c>
      <c r="I594" s="107">
        <v>32340</v>
      </c>
      <c r="J594" s="107">
        <v>0</v>
      </c>
      <c r="K594" s="107">
        <v>0</v>
      </c>
    </row>
    <row r="595" spans="1:11" ht="15.75">
      <c r="A595" s="43"/>
      <c r="B595" s="170"/>
      <c r="C595" s="150"/>
      <c r="D595" s="179"/>
      <c r="E595" s="151"/>
      <c r="F595" s="151"/>
      <c r="G595" s="151"/>
      <c r="H595" s="151"/>
      <c r="I595" s="151"/>
      <c r="J595" s="151"/>
      <c r="K595" s="231"/>
    </row>
    <row r="596" spans="1:11" ht="12.75" customHeight="1">
      <c r="A596" s="47"/>
      <c r="B596" s="47"/>
      <c r="C596" s="48"/>
      <c r="D596" s="56"/>
      <c r="E596" s="50"/>
      <c r="F596" s="50"/>
      <c r="G596" s="50"/>
      <c r="H596" s="50"/>
      <c r="I596" s="50"/>
      <c r="J596" s="50"/>
      <c r="K596" s="229"/>
    </row>
    <row r="597" spans="1:11" ht="32.25" thickBot="1">
      <c r="A597" s="51">
        <v>900</v>
      </c>
      <c r="B597" s="141" t="s">
        <v>78</v>
      </c>
      <c r="C597" s="53">
        <f>SUM(C599,C604,C610,C618,C634,C653)</f>
        <v>4216100</v>
      </c>
      <c r="D597" s="24" t="e">
        <f>(C597/#REF!)*100</f>
        <v>#REF!</v>
      </c>
      <c r="E597" s="54">
        <f>SUM(E599,E604,E610,E618,E634,E648,E653)</f>
        <v>4638427</v>
      </c>
      <c r="F597" s="54">
        <f>SUM(F599,F604,F610,F618,F634,F648,F653)</f>
        <v>6009688.52</v>
      </c>
      <c r="G597" s="54">
        <f>SUM(G599,G604,G610,G618,G634,G648,G653)</f>
        <v>3627178.1399999997</v>
      </c>
      <c r="H597" s="24">
        <f>SUM(G597/F597)*100</f>
        <v>60.355509739463166</v>
      </c>
      <c r="I597" s="54">
        <f>SUM(I599,I604,I610,I618,I634,I648,I653)</f>
        <v>5545391.0600000005</v>
      </c>
      <c r="J597" s="54">
        <f>SUM(J599,J604,J610,J618,J634,J648,J653)</f>
        <v>5379250</v>
      </c>
      <c r="K597" s="24">
        <f>SUM(J597/I597)*100</f>
        <v>97.00397937309762</v>
      </c>
    </row>
    <row r="598" spans="1:11" ht="12.75" customHeight="1" thickTop="1">
      <c r="A598" s="17"/>
      <c r="B598" s="17"/>
      <c r="C598" s="35"/>
      <c r="D598" s="56"/>
      <c r="E598" s="37"/>
      <c r="F598" s="37"/>
      <c r="G598" s="37"/>
      <c r="H598" s="37"/>
      <c r="I598" s="37"/>
      <c r="J598" s="37"/>
      <c r="K598" s="193"/>
    </row>
    <row r="599" spans="1:11" ht="15.75">
      <c r="A599" s="58">
        <v>90001</v>
      </c>
      <c r="B599" s="108" t="s">
        <v>79</v>
      </c>
      <c r="C599" s="32">
        <f>SUM(C601:C602)</f>
        <v>382400</v>
      </c>
      <c r="D599" s="33" t="e">
        <f>(C599/#REF!)*100</f>
        <v>#REF!</v>
      </c>
      <c r="E599" s="34">
        <f>SUM(E601:E602)</f>
        <v>375000</v>
      </c>
      <c r="F599" s="34">
        <f>SUM(F601:F602)</f>
        <v>521880</v>
      </c>
      <c r="G599" s="34">
        <f>SUM(G601:G602)</f>
        <v>128304.89</v>
      </c>
      <c r="H599" s="34">
        <f>SUM(G599/F599)*100</f>
        <v>24.585132597532</v>
      </c>
      <c r="I599" s="34">
        <f>SUM(I601:I602)</f>
        <v>521836</v>
      </c>
      <c r="J599" s="34">
        <f>SUM(J601:J602)</f>
        <v>220000</v>
      </c>
      <c r="K599" s="34">
        <f>SUM(J599/I599)*100</f>
        <v>42.15883917552641</v>
      </c>
    </row>
    <row r="600" spans="1:11" ht="12.75" customHeight="1">
      <c r="A600" s="17"/>
      <c r="B600" s="17"/>
      <c r="C600" s="55"/>
      <c r="D600" s="94"/>
      <c r="E600" s="57"/>
      <c r="F600" s="57"/>
      <c r="G600" s="57"/>
      <c r="H600" s="57"/>
      <c r="I600" s="57"/>
      <c r="J600" s="57"/>
      <c r="K600" s="193"/>
    </row>
    <row r="601" spans="1:11" ht="15.75">
      <c r="A601" s="17"/>
      <c r="B601" s="38" t="s">
        <v>80</v>
      </c>
      <c r="C601" s="40">
        <v>352400</v>
      </c>
      <c r="D601" s="41" t="e">
        <f>(C601/#REF!)*100</f>
        <v>#REF!</v>
      </c>
      <c r="E601" s="42">
        <v>340000</v>
      </c>
      <c r="F601" s="42">
        <v>484380</v>
      </c>
      <c r="G601" s="42">
        <v>90848.89</v>
      </c>
      <c r="H601" s="42">
        <f>SUM(G601/F601)*100</f>
        <v>18.755706263677276</v>
      </c>
      <c r="I601" s="42">
        <v>484380</v>
      </c>
      <c r="J601" s="42">
        <f>400000-100000-100000-20000</f>
        <v>180000</v>
      </c>
      <c r="K601" s="42">
        <f>SUM(J601/I601)*100</f>
        <v>37.16090672612412</v>
      </c>
    </row>
    <row r="602" spans="1:11" ht="30.75">
      <c r="A602" s="17"/>
      <c r="B602" s="125" t="s">
        <v>18</v>
      </c>
      <c r="C602" s="106">
        <v>30000</v>
      </c>
      <c r="D602" s="95" t="e">
        <f>(C602/#REF!)*100</f>
        <v>#REF!</v>
      </c>
      <c r="E602" s="107">
        <v>35000</v>
      </c>
      <c r="F602" s="107">
        <v>37500</v>
      </c>
      <c r="G602" s="107">
        <v>37456</v>
      </c>
      <c r="H602" s="42">
        <f>SUM(G602/F602)*100</f>
        <v>99.88266666666667</v>
      </c>
      <c r="I602" s="107">
        <v>37456</v>
      </c>
      <c r="J602" s="107">
        <v>40000</v>
      </c>
      <c r="K602" s="42">
        <f>SUM(J602/I602)*100</f>
        <v>106.79196924391286</v>
      </c>
    </row>
    <row r="603" spans="1:11" ht="12.75" customHeight="1">
      <c r="A603" s="17"/>
      <c r="B603" s="47"/>
      <c r="C603" s="48"/>
      <c r="D603" s="94"/>
      <c r="E603" s="50"/>
      <c r="F603" s="50"/>
      <c r="G603" s="50"/>
      <c r="H603" s="50"/>
      <c r="I603" s="50"/>
      <c r="J603" s="50"/>
      <c r="K603" s="229"/>
    </row>
    <row r="604" spans="1:11" ht="15.75">
      <c r="A604" s="58">
        <v>90002</v>
      </c>
      <c r="B604" s="59" t="s">
        <v>81</v>
      </c>
      <c r="C604" s="32">
        <f>SUM(C606:C608)</f>
        <v>12200</v>
      </c>
      <c r="D604" s="33" t="e">
        <f>(C604/#REF!)*100</f>
        <v>#REF!</v>
      </c>
      <c r="E604" s="34">
        <f>SUM(E606:E608)</f>
        <v>134150</v>
      </c>
      <c r="F604" s="34">
        <f>SUM(F606:F608)</f>
        <v>130580</v>
      </c>
      <c r="G604" s="34">
        <f>SUM(G606:G608)</f>
        <v>97661.99</v>
      </c>
      <c r="H604" s="34">
        <f>SUM(G604/F604)*100</f>
        <v>74.7909251033849</v>
      </c>
      <c r="I604" s="34">
        <f>SUM(I606:I608)</f>
        <v>130259.99</v>
      </c>
      <c r="J604" s="34">
        <f>SUM(J606:J608)</f>
        <v>130250</v>
      </c>
      <c r="K604" s="34">
        <f>SUM(J604/I604)*100</f>
        <v>99.99233072258028</v>
      </c>
    </row>
    <row r="605" spans="1:11" ht="12.75" customHeight="1">
      <c r="A605" s="17"/>
      <c r="B605" s="47"/>
      <c r="C605" s="61"/>
      <c r="D605" s="56"/>
      <c r="E605" s="62"/>
      <c r="F605" s="62"/>
      <c r="G605" s="62"/>
      <c r="H605" s="62"/>
      <c r="I605" s="62"/>
      <c r="J605" s="62"/>
      <c r="K605" s="229"/>
    </row>
    <row r="606" spans="1:11" ht="30.75">
      <c r="A606" s="17"/>
      <c r="B606" s="64" t="s">
        <v>171</v>
      </c>
      <c r="C606" s="40">
        <v>12000</v>
      </c>
      <c r="D606" s="95" t="e">
        <f>(C606/#REF!)*100</f>
        <v>#REF!</v>
      </c>
      <c r="E606" s="42">
        <v>18000</v>
      </c>
      <c r="F606" s="42">
        <v>14430</v>
      </c>
      <c r="G606" s="42">
        <v>10599.99</v>
      </c>
      <c r="H606" s="42">
        <f>SUM(G606/F606)*100</f>
        <v>73.45800415800416</v>
      </c>
      <c r="I606" s="42">
        <v>14199.99</v>
      </c>
      <c r="J606" s="42">
        <f>22000-6000-2000</f>
        <v>14000</v>
      </c>
      <c r="K606" s="42">
        <f>SUM(J606/I606)*100</f>
        <v>98.59161872649206</v>
      </c>
    </row>
    <row r="607" spans="1:11" ht="15.75">
      <c r="A607" s="17"/>
      <c r="B607" s="64" t="s">
        <v>208</v>
      </c>
      <c r="C607" s="40"/>
      <c r="D607" s="95"/>
      <c r="E607" s="42">
        <v>116000</v>
      </c>
      <c r="F607" s="42">
        <v>116000</v>
      </c>
      <c r="G607" s="42">
        <v>87002</v>
      </c>
      <c r="H607" s="42">
        <f>SUM(G607/F607)*100</f>
        <v>75.00172413793103</v>
      </c>
      <c r="I607" s="42">
        <v>116000</v>
      </c>
      <c r="J607" s="42">
        <v>116000</v>
      </c>
      <c r="K607" s="42">
        <f>SUM(J607/I607)*100</f>
        <v>100</v>
      </c>
    </row>
    <row r="608" spans="1:11" ht="30.75">
      <c r="A608" s="17"/>
      <c r="B608" s="64" t="s">
        <v>146</v>
      </c>
      <c r="C608" s="40">
        <v>200</v>
      </c>
      <c r="D608" s="95" t="e">
        <f>(C608/#REF!)*100</f>
        <v>#REF!</v>
      </c>
      <c r="E608" s="42">
        <v>150</v>
      </c>
      <c r="F608" s="42">
        <v>150</v>
      </c>
      <c r="G608" s="42">
        <v>60</v>
      </c>
      <c r="H608" s="42">
        <f>SUM(G608/F608)*100</f>
        <v>40</v>
      </c>
      <c r="I608" s="42">
        <v>60</v>
      </c>
      <c r="J608" s="42">
        <v>250</v>
      </c>
      <c r="K608" s="42">
        <f>SUM(J608/I608)*100</f>
        <v>416.6666666666667</v>
      </c>
    </row>
    <row r="609" spans="1:11" ht="12.75" customHeight="1">
      <c r="A609" s="17"/>
      <c r="B609" s="17"/>
      <c r="C609" s="48"/>
      <c r="D609" s="56"/>
      <c r="E609" s="50"/>
      <c r="F609" s="50"/>
      <c r="G609" s="50"/>
      <c r="H609" s="50"/>
      <c r="I609" s="50"/>
      <c r="J609" s="50"/>
      <c r="K609" s="229"/>
    </row>
    <row r="610" spans="1:11" ht="15.75">
      <c r="A610" s="58">
        <v>90003</v>
      </c>
      <c r="B610" s="59" t="s">
        <v>82</v>
      </c>
      <c r="C610" s="32">
        <f>SUM(C612:C616)</f>
        <v>1010000</v>
      </c>
      <c r="D610" s="33" t="e">
        <f>(C610/#REF!)*100</f>
        <v>#REF!</v>
      </c>
      <c r="E610" s="34">
        <f>SUM(E612:E616)</f>
        <v>1357430</v>
      </c>
      <c r="F610" s="34">
        <f>SUM(F612:F616)</f>
        <v>1355450</v>
      </c>
      <c r="G610" s="34">
        <f>SUM(G612:G616)</f>
        <v>964796.61</v>
      </c>
      <c r="H610" s="34">
        <f>SUM(G610/F610)*100</f>
        <v>71.17906304179424</v>
      </c>
      <c r="I610" s="34">
        <f>SUM(I612:I616)</f>
        <v>1299430.87</v>
      </c>
      <c r="J610" s="34">
        <f>SUM(J612:J616)</f>
        <v>1268000</v>
      </c>
      <c r="K610" s="34">
        <f>SUM(J610/I610)*100</f>
        <v>97.5811818292419</v>
      </c>
    </row>
    <row r="611" spans="1:11" ht="12.75" customHeight="1">
      <c r="A611" s="17"/>
      <c r="B611" s="47"/>
      <c r="C611" s="61"/>
      <c r="D611" s="56"/>
      <c r="E611" s="62"/>
      <c r="F611" s="62"/>
      <c r="G611" s="62"/>
      <c r="H611" s="62"/>
      <c r="I611" s="62"/>
      <c r="J611" s="62"/>
      <c r="K611" s="229"/>
    </row>
    <row r="612" spans="1:11" ht="15.75">
      <c r="A612" s="17"/>
      <c r="B612" s="64" t="s">
        <v>205</v>
      </c>
      <c r="C612" s="40">
        <v>50000</v>
      </c>
      <c r="D612" s="41" t="e">
        <f>(C612/#REF!)*100</f>
        <v>#REF!</v>
      </c>
      <c r="E612" s="42">
        <v>30000</v>
      </c>
      <c r="F612" s="42">
        <v>50000</v>
      </c>
      <c r="G612" s="42">
        <v>36003.57</v>
      </c>
      <c r="H612" s="42">
        <f>SUM(G612/F612)*100</f>
        <v>72.00714</v>
      </c>
      <c r="I612" s="42">
        <v>50000</v>
      </c>
      <c r="J612" s="42">
        <f>61000-11000-5000</f>
        <v>45000</v>
      </c>
      <c r="K612" s="42">
        <f>SUM(J612/I612)*100</f>
        <v>90</v>
      </c>
    </row>
    <row r="613" spans="1:11" ht="30.75">
      <c r="A613" s="17"/>
      <c r="B613" s="64" t="s">
        <v>206</v>
      </c>
      <c r="C613" s="40"/>
      <c r="D613" s="41"/>
      <c r="E613" s="42">
        <v>40000</v>
      </c>
      <c r="F613" s="42">
        <v>20000</v>
      </c>
      <c r="G613" s="42">
        <v>0</v>
      </c>
      <c r="H613" s="42">
        <f>SUM(G613/F613)*100</f>
        <v>0</v>
      </c>
      <c r="I613" s="42">
        <v>0</v>
      </c>
      <c r="J613" s="42">
        <f>50000-30000</f>
        <v>20000</v>
      </c>
      <c r="K613" s="42">
        <v>0</v>
      </c>
    </row>
    <row r="614" spans="1:11" ht="15.75">
      <c r="A614" s="17"/>
      <c r="B614" s="38" t="s">
        <v>14</v>
      </c>
      <c r="C614" s="40">
        <v>900000</v>
      </c>
      <c r="D614" s="95" t="e">
        <f>(C614/#REF!)*100</f>
        <v>#REF!</v>
      </c>
      <c r="E614" s="42">
        <v>1257430</v>
      </c>
      <c r="F614" s="42">
        <v>1257430</v>
      </c>
      <c r="G614" s="42">
        <v>917325.67</v>
      </c>
      <c r="H614" s="42">
        <f>SUM(G614/F614)*100</f>
        <v>72.95242438942924</v>
      </c>
      <c r="I614" s="42">
        <v>1221519</v>
      </c>
      <c r="J614" s="42">
        <f>1395000-100000-95000-20000</f>
        <v>1180000</v>
      </c>
      <c r="K614" s="42">
        <f>SUM(J614/I614)*100</f>
        <v>96.60103526838306</v>
      </c>
    </row>
    <row r="615" spans="1:11" ht="15.75">
      <c r="A615" s="17"/>
      <c r="B615" s="38" t="s">
        <v>207</v>
      </c>
      <c r="C615" s="40">
        <v>40000</v>
      </c>
      <c r="D615" s="95" t="e">
        <f>(C615/#REF!)*100</f>
        <v>#REF!</v>
      </c>
      <c r="E615" s="42">
        <v>15000</v>
      </c>
      <c r="F615" s="42">
        <v>15000</v>
      </c>
      <c r="G615" s="42">
        <v>0</v>
      </c>
      <c r="H615" s="42">
        <f>SUM(G615/F615)*100</f>
        <v>0</v>
      </c>
      <c r="I615" s="42">
        <v>15000</v>
      </c>
      <c r="J615" s="42">
        <f>15000-5000</f>
        <v>10000</v>
      </c>
      <c r="K615" s="42">
        <f>SUM(J615/I615)*100</f>
        <v>66.66666666666666</v>
      </c>
    </row>
    <row r="616" spans="1:11" ht="45.75">
      <c r="A616" s="17"/>
      <c r="B616" s="64" t="s">
        <v>138</v>
      </c>
      <c r="C616" s="40">
        <v>20000</v>
      </c>
      <c r="D616" s="95" t="e">
        <f>(C616/#REF!)*100</f>
        <v>#REF!</v>
      </c>
      <c r="E616" s="42">
        <v>15000</v>
      </c>
      <c r="F616" s="42">
        <v>13020</v>
      </c>
      <c r="G616" s="42">
        <v>11467.37</v>
      </c>
      <c r="H616" s="42">
        <f>SUM(G616/F616)*100</f>
        <v>88.07503840245776</v>
      </c>
      <c r="I616" s="42">
        <v>12911.87</v>
      </c>
      <c r="J616" s="42">
        <f>30000-17000</f>
        <v>13000</v>
      </c>
      <c r="K616" s="42">
        <f>SUM(J616/I616)*100</f>
        <v>100.68255024252876</v>
      </c>
    </row>
    <row r="617" spans="1:11" ht="12.75" customHeight="1">
      <c r="A617" s="17"/>
      <c r="B617" s="47"/>
      <c r="C617" s="48"/>
      <c r="D617" s="56"/>
      <c r="E617" s="50"/>
      <c r="F617" s="50"/>
      <c r="G617" s="50"/>
      <c r="H617" s="50"/>
      <c r="I617" s="50"/>
      <c r="J617" s="50"/>
      <c r="K617" s="229"/>
    </row>
    <row r="618" spans="1:11" ht="15.75">
      <c r="A618" s="58">
        <v>90004</v>
      </c>
      <c r="B618" s="108" t="s">
        <v>83</v>
      </c>
      <c r="C618" s="32">
        <f>SUM(C620,C621:C628)</f>
        <v>938500</v>
      </c>
      <c r="D618" s="33" t="e">
        <f>(C618/#REF!)*100</f>
        <v>#REF!</v>
      </c>
      <c r="E618" s="34">
        <f>SUM(E620:E623,E625)</f>
        <v>828000</v>
      </c>
      <c r="F618" s="34">
        <f>SUM(F620:F623,F625)</f>
        <v>799760</v>
      </c>
      <c r="G618" s="34">
        <f>SUM(G620:G623,G625)</f>
        <v>531254.23</v>
      </c>
      <c r="H618" s="34">
        <f>SUM(G618/F618)*100</f>
        <v>66.42670676202862</v>
      </c>
      <c r="I618" s="34">
        <f>SUM(I620:I623,I625)</f>
        <v>676089.25</v>
      </c>
      <c r="J618" s="34">
        <f>SUM(J620:J623,J625)</f>
        <v>975000</v>
      </c>
      <c r="K618" s="34">
        <f>SUM(J618/I618)*100</f>
        <v>144.21172944252552</v>
      </c>
    </row>
    <row r="619" spans="1:11" ht="15.75">
      <c r="A619" s="17"/>
      <c r="B619" s="84"/>
      <c r="C619" s="61"/>
      <c r="D619" s="94"/>
      <c r="E619" s="62"/>
      <c r="F619" s="62"/>
      <c r="G619" s="62"/>
      <c r="H619" s="62"/>
      <c r="I619" s="62"/>
      <c r="J619" s="62"/>
      <c r="K619" s="229"/>
    </row>
    <row r="620" spans="1:11" ht="15.75">
      <c r="A620" s="17"/>
      <c r="B620" s="65" t="s">
        <v>375</v>
      </c>
      <c r="C620" s="66">
        <v>320000</v>
      </c>
      <c r="D620" s="56" t="e">
        <f>(C620/#REF!)*100</f>
        <v>#REF!</v>
      </c>
      <c r="E620" s="67">
        <v>423000</v>
      </c>
      <c r="F620" s="67">
        <v>422450</v>
      </c>
      <c r="G620" s="67">
        <v>306674.53</v>
      </c>
      <c r="H620" s="42">
        <f>SUM(G620/F620)*100</f>
        <v>72.5942786128536</v>
      </c>
      <c r="I620" s="67">
        <v>422450</v>
      </c>
      <c r="J620" s="67">
        <f>533000-110000-23000-20000+40000</f>
        <v>420000</v>
      </c>
      <c r="K620" s="42">
        <f>SUM(J620/I620)*100</f>
        <v>99.42004971002486</v>
      </c>
    </row>
    <row r="621" spans="1:11" ht="15.75">
      <c r="A621" s="17"/>
      <c r="B621" s="180" t="s">
        <v>15</v>
      </c>
      <c r="C621" s="106">
        <v>160000</v>
      </c>
      <c r="D621" s="95" t="e">
        <f>(C621/#REF!)*100</f>
        <v>#REF!</v>
      </c>
      <c r="E621" s="107">
        <f>90000</f>
        <v>90000</v>
      </c>
      <c r="F621" s="107">
        <v>92460</v>
      </c>
      <c r="G621" s="107">
        <v>90796.55</v>
      </c>
      <c r="H621" s="42">
        <f>SUM(G621/F621)*100</f>
        <v>98.20089768548563</v>
      </c>
      <c r="I621" s="107">
        <v>92460</v>
      </c>
      <c r="J621" s="107">
        <f>225000-100000-25000-40000</f>
        <v>60000</v>
      </c>
      <c r="K621" s="42">
        <f>SUM(J621/I621)*100</f>
        <v>64.89292667099285</v>
      </c>
    </row>
    <row r="622" spans="1:11" ht="30.75">
      <c r="A622" s="17"/>
      <c r="B622" s="125" t="s">
        <v>247</v>
      </c>
      <c r="C622" s="106">
        <v>15000</v>
      </c>
      <c r="D622" s="95" t="e">
        <f>(C622/#REF!)*100</f>
        <v>#REF!</v>
      </c>
      <c r="E622" s="107">
        <v>15000</v>
      </c>
      <c r="F622" s="107">
        <v>800</v>
      </c>
      <c r="G622" s="107">
        <v>0</v>
      </c>
      <c r="H622" s="42">
        <f>SUM(G622/F622)*100</f>
        <v>0</v>
      </c>
      <c r="I622" s="107">
        <v>800</v>
      </c>
      <c r="J622" s="107">
        <f>10000-5000</f>
        <v>5000</v>
      </c>
      <c r="K622" s="42">
        <f>SUM(J622/I622)*100</f>
        <v>625</v>
      </c>
    </row>
    <row r="623" spans="1:11" ht="15.75">
      <c r="A623" s="17"/>
      <c r="B623" s="125" t="s">
        <v>149</v>
      </c>
      <c r="C623" s="106">
        <v>50000</v>
      </c>
      <c r="D623" s="95">
        <v>0</v>
      </c>
      <c r="E623" s="107">
        <v>100000</v>
      </c>
      <c r="F623" s="107">
        <v>84050</v>
      </c>
      <c r="G623" s="107">
        <v>57453.9</v>
      </c>
      <c r="H623" s="42">
        <f>SUM(G623/F623)*100</f>
        <v>68.35681142177276</v>
      </c>
      <c r="I623" s="107">
        <v>84050</v>
      </c>
      <c r="J623" s="107">
        <f>200000-115000-5000-5000</f>
        <v>75000</v>
      </c>
      <c r="K623" s="42">
        <f>SUM(J623/I623)*100</f>
        <v>89.2325996430696</v>
      </c>
    </row>
    <row r="624" spans="1:11" ht="15.75">
      <c r="A624" s="17"/>
      <c r="B624" s="126"/>
      <c r="C624" s="99"/>
      <c r="D624" s="100"/>
      <c r="E624" s="101"/>
      <c r="F624" s="101"/>
      <c r="G624" s="101"/>
      <c r="H624" s="101"/>
      <c r="I624" s="101"/>
      <c r="J624" s="101"/>
      <c r="K624" s="77"/>
    </row>
    <row r="625" spans="1:11" ht="15.75">
      <c r="A625" s="17"/>
      <c r="B625" s="88" t="s">
        <v>179</v>
      </c>
      <c r="C625" s="181"/>
      <c r="D625" s="156"/>
      <c r="E625" s="89">
        <f>SUM(E627:E628)</f>
        <v>200000</v>
      </c>
      <c r="F625" s="89">
        <f>SUM(F627:F628)</f>
        <v>200000</v>
      </c>
      <c r="G625" s="89">
        <f>SUM(G627:G628)</f>
        <v>76329.25</v>
      </c>
      <c r="H625" s="37">
        <f>SUM(G625/F625)*100</f>
        <v>38.164625</v>
      </c>
      <c r="I625" s="89">
        <f>SUM(I627:I628)</f>
        <v>76329.25</v>
      </c>
      <c r="J625" s="89">
        <f>SUM(J627:J628)</f>
        <v>415000</v>
      </c>
      <c r="K625" s="89">
        <f>SUM(J625/I625)*100</f>
        <v>543.6972065099552</v>
      </c>
    </row>
    <row r="626" spans="1:11" ht="15.75">
      <c r="A626" s="17"/>
      <c r="B626" s="88" t="s">
        <v>4</v>
      </c>
      <c r="C626" s="181"/>
      <c r="D626" s="156"/>
      <c r="E626" s="89"/>
      <c r="F626" s="89"/>
      <c r="G626" s="89"/>
      <c r="H626" s="89"/>
      <c r="I626" s="89"/>
      <c r="J626" s="89"/>
      <c r="K626" s="193"/>
    </row>
    <row r="627" spans="1:11" ht="30.75">
      <c r="A627" s="17"/>
      <c r="B627" s="64" t="s">
        <v>376</v>
      </c>
      <c r="C627" s="40">
        <v>141000</v>
      </c>
      <c r="D627" s="41" t="e">
        <f>(C627/#REF!)*100</f>
        <v>#REF!</v>
      </c>
      <c r="E627" s="42">
        <f>200000-8805</f>
        <v>191195</v>
      </c>
      <c r="F627" s="42">
        <v>200000</v>
      </c>
      <c r="G627" s="42">
        <v>76329.25</v>
      </c>
      <c r="H627" s="42">
        <f>SUM(G627/F627)*100</f>
        <v>38.164625</v>
      </c>
      <c r="I627" s="42">
        <v>76329.25</v>
      </c>
      <c r="J627" s="42">
        <f>1415000-1000000-200000+200000</f>
        <v>415000</v>
      </c>
      <c r="K627" s="42">
        <f>SUM(J627/I627)*100</f>
        <v>543.6972065099552</v>
      </c>
    </row>
    <row r="628" spans="1:11" ht="31.5" thickBot="1">
      <c r="A628" s="59"/>
      <c r="B628" s="125" t="s">
        <v>407</v>
      </c>
      <c r="C628" s="106">
        <v>252500</v>
      </c>
      <c r="D628" s="95" t="e">
        <f>(C628/#REF!)*100</f>
        <v>#REF!</v>
      </c>
      <c r="E628" s="107">
        <v>8805</v>
      </c>
      <c r="F628" s="107">
        <v>0</v>
      </c>
      <c r="G628" s="107">
        <v>0</v>
      </c>
      <c r="H628" s="42">
        <v>0</v>
      </c>
      <c r="I628" s="107">
        <v>0</v>
      </c>
      <c r="J628" s="107">
        <v>0</v>
      </c>
      <c r="K628" s="42">
        <v>0</v>
      </c>
    </row>
    <row r="629" spans="1:11" ht="18.75" customHeight="1">
      <c r="A629" s="2"/>
      <c r="B629" s="3"/>
      <c r="C629" s="4"/>
      <c r="D629" s="5"/>
      <c r="E629" s="4"/>
      <c r="F629" s="4"/>
      <c r="G629" s="4"/>
      <c r="H629" s="4"/>
      <c r="I629" s="4"/>
      <c r="J629" s="4"/>
      <c r="K629" s="243"/>
    </row>
    <row r="630" spans="1:11" ht="18.75" customHeight="1">
      <c r="A630" s="6" t="s">
        <v>31</v>
      </c>
      <c r="B630" s="7" t="s">
        <v>0</v>
      </c>
      <c r="C630" s="8" t="s">
        <v>167</v>
      </c>
      <c r="D630" s="8" t="s">
        <v>30</v>
      </c>
      <c r="E630" s="8" t="s">
        <v>234</v>
      </c>
      <c r="F630" s="8" t="s">
        <v>234</v>
      </c>
      <c r="G630" s="8" t="s">
        <v>251</v>
      </c>
      <c r="H630" s="8" t="s">
        <v>30</v>
      </c>
      <c r="I630" s="8" t="s">
        <v>297</v>
      </c>
      <c r="J630" s="8" t="s">
        <v>300</v>
      </c>
      <c r="K630" s="244" t="s">
        <v>30</v>
      </c>
    </row>
    <row r="631" spans="1:11" ht="18.75" customHeight="1">
      <c r="A631" s="6" t="s">
        <v>33</v>
      </c>
      <c r="B631" s="9"/>
      <c r="C631" s="8" t="s">
        <v>166</v>
      </c>
      <c r="D631" s="10" t="s">
        <v>12</v>
      </c>
      <c r="E631" s="8" t="s">
        <v>250</v>
      </c>
      <c r="F631" s="8" t="s">
        <v>296</v>
      </c>
      <c r="G631" s="8" t="s">
        <v>296</v>
      </c>
      <c r="H631" s="8" t="s">
        <v>12</v>
      </c>
      <c r="I631" s="8" t="s">
        <v>298</v>
      </c>
      <c r="J631" s="8" t="s">
        <v>301</v>
      </c>
      <c r="K631" s="244" t="s">
        <v>12</v>
      </c>
    </row>
    <row r="632" spans="1:11" ht="16.5" thickBot="1">
      <c r="A632" s="11"/>
      <c r="B632" s="12"/>
      <c r="C632" s="13"/>
      <c r="D632" s="13"/>
      <c r="E632" s="13" t="s">
        <v>233</v>
      </c>
      <c r="F632" s="13" t="s">
        <v>233</v>
      </c>
      <c r="G632" s="13" t="s">
        <v>233</v>
      </c>
      <c r="H632" s="13"/>
      <c r="I632" s="13" t="s">
        <v>299</v>
      </c>
      <c r="J632" s="13" t="s">
        <v>233</v>
      </c>
      <c r="K632" s="245"/>
    </row>
    <row r="633" spans="1:11" ht="12.75" customHeight="1">
      <c r="A633" s="17"/>
      <c r="B633" s="17"/>
      <c r="C633" s="55"/>
      <c r="D633" s="56"/>
      <c r="E633" s="57"/>
      <c r="F633" s="57"/>
      <c r="G633" s="57"/>
      <c r="H633" s="57"/>
      <c r="I633" s="57"/>
      <c r="J633" s="57"/>
      <c r="K633" s="193"/>
    </row>
    <row r="634" spans="1:11" ht="15.75">
      <c r="A634" s="58">
        <v>90015</v>
      </c>
      <c r="B634" s="108" t="s">
        <v>84</v>
      </c>
      <c r="C634" s="32">
        <f>SUM(C636,C641:C641)</f>
        <v>1002000</v>
      </c>
      <c r="D634" s="60" t="e">
        <f>(C634/#REF!)*100</f>
        <v>#REF!</v>
      </c>
      <c r="E634" s="34">
        <f>SUM(E636,E641:E643)</f>
        <v>1240000</v>
      </c>
      <c r="F634" s="34">
        <f>SUM(F636,F641:F644)</f>
        <v>1285000</v>
      </c>
      <c r="G634" s="34">
        <f>SUM(G636,G641:G644)</f>
        <v>759794.69</v>
      </c>
      <c r="H634" s="34">
        <f>SUM(G634/F634)*100</f>
        <v>59.12799143968871</v>
      </c>
      <c r="I634" s="34">
        <f>SUM(I636,I641:I644)</f>
        <v>1170575</v>
      </c>
      <c r="J634" s="34">
        <f>SUM(J636,J641:J644)</f>
        <v>1264000</v>
      </c>
      <c r="K634" s="34">
        <f>SUM(J634/I634)*100</f>
        <v>107.98112038955215</v>
      </c>
    </row>
    <row r="635" spans="1:11" ht="10.5" customHeight="1">
      <c r="A635" s="17"/>
      <c r="B635" s="17"/>
      <c r="C635" s="35"/>
      <c r="D635" s="56"/>
      <c r="E635" s="37"/>
      <c r="F635" s="37"/>
      <c r="G635" s="37"/>
      <c r="H635" s="37"/>
      <c r="I635" s="37"/>
      <c r="J635" s="37"/>
      <c r="K635" s="193"/>
    </row>
    <row r="636" spans="1:11" ht="12.75" customHeight="1">
      <c r="A636" s="17"/>
      <c r="B636" s="63" t="s">
        <v>294</v>
      </c>
      <c r="C636" s="66">
        <f>SUM(C638:C640)</f>
        <v>940000</v>
      </c>
      <c r="D636" s="56" t="e">
        <f>(C636/#REF!)*100</f>
        <v>#REF!</v>
      </c>
      <c r="E636" s="49">
        <f>SUM(E638:E640)</f>
        <v>1185000</v>
      </c>
      <c r="F636" s="49">
        <f>SUM(F638:F640)</f>
        <v>1154425</v>
      </c>
      <c r="G636" s="49">
        <f>SUM(G638:G640)</f>
        <v>759794.69</v>
      </c>
      <c r="H636" s="67">
        <f aca="true" t="shared" si="8" ref="H636:H643">SUM(G636/F636)*100</f>
        <v>65.81585551248456</v>
      </c>
      <c r="I636" s="49">
        <f>SUM(I638:I640)</f>
        <v>1085000</v>
      </c>
      <c r="J636" s="49">
        <f>SUM(J638:J640)</f>
        <v>1114000</v>
      </c>
      <c r="K636" s="67">
        <f>SUM(J636/I636)*100</f>
        <v>102.67281105990784</v>
      </c>
    </row>
    <row r="637" spans="1:11" ht="15.75">
      <c r="A637" s="17"/>
      <c r="B637" s="63" t="s">
        <v>4</v>
      </c>
      <c r="C637" s="66"/>
      <c r="D637" s="56"/>
      <c r="E637" s="49"/>
      <c r="F637" s="49"/>
      <c r="G637" s="49"/>
      <c r="H637" s="49"/>
      <c r="I637" s="49"/>
      <c r="J637" s="49"/>
      <c r="K637" s="120"/>
    </row>
    <row r="638" spans="1:11" ht="15.75">
      <c r="A638" s="17"/>
      <c r="B638" s="63" t="s">
        <v>132</v>
      </c>
      <c r="C638" s="66">
        <v>700000</v>
      </c>
      <c r="D638" s="56" t="e">
        <f>(C638/#REF!)*100</f>
        <v>#REF!</v>
      </c>
      <c r="E638" s="49">
        <v>900000</v>
      </c>
      <c r="F638" s="49">
        <v>834425</v>
      </c>
      <c r="G638" s="49">
        <v>599888.36</v>
      </c>
      <c r="H638" s="67">
        <f t="shared" si="8"/>
        <v>71.89242412439704</v>
      </c>
      <c r="I638" s="49">
        <v>765000</v>
      </c>
      <c r="J638" s="49">
        <v>670000</v>
      </c>
      <c r="K638" s="67">
        <f>SUM(J638/I638)*100</f>
        <v>87.58169934640523</v>
      </c>
    </row>
    <row r="639" spans="1:11" ht="30.75">
      <c r="A639" s="17"/>
      <c r="B639" s="65" t="s">
        <v>295</v>
      </c>
      <c r="C639" s="66">
        <v>60000</v>
      </c>
      <c r="D639" s="56" t="e">
        <f>(C639/#REF!)*100</f>
        <v>#REF!</v>
      </c>
      <c r="E639" s="49">
        <v>85000</v>
      </c>
      <c r="F639" s="49">
        <v>70000</v>
      </c>
      <c r="G639" s="49">
        <v>41571.37</v>
      </c>
      <c r="H639" s="49">
        <f t="shared" si="8"/>
        <v>59.38767142857143</v>
      </c>
      <c r="I639" s="49">
        <v>70000</v>
      </c>
      <c r="J639" s="49">
        <f>200000-130000</f>
        <v>70000</v>
      </c>
      <c r="K639" s="67">
        <f>SUM(J639/I639)*100</f>
        <v>100</v>
      </c>
    </row>
    <row r="640" spans="1:11" ht="30.75">
      <c r="A640" s="17"/>
      <c r="B640" s="64" t="s">
        <v>172</v>
      </c>
      <c r="C640" s="40">
        <v>180000</v>
      </c>
      <c r="D640" s="41" t="e">
        <f>(C640/#REF!)*100</f>
        <v>#REF!</v>
      </c>
      <c r="E640" s="134">
        <v>200000</v>
      </c>
      <c r="F640" s="134">
        <v>250000</v>
      </c>
      <c r="G640" s="134">
        <v>118334.96</v>
      </c>
      <c r="H640" s="134">
        <f t="shared" si="8"/>
        <v>47.333984</v>
      </c>
      <c r="I640" s="134">
        <v>250000</v>
      </c>
      <c r="J640" s="134">
        <v>374000</v>
      </c>
      <c r="K640" s="42">
        <f>SUM(J640/I640)*100</f>
        <v>149.6</v>
      </c>
    </row>
    <row r="641" spans="1:11" ht="30.75">
      <c r="A641" s="17"/>
      <c r="B641" s="64" t="s">
        <v>293</v>
      </c>
      <c r="C641" s="40">
        <v>62000</v>
      </c>
      <c r="D641" s="95">
        <v>0</v>
      </c>
      <c r="E641" s="42">
        <v>55000</v>
      </c>
      <c r="F641" s="42">
        <v>20000</v>
      </c>
      <c r="G641" s="42">
        <v>0</v>
      </c>
      <c r="H641" s="42">
        <f t="shared" si="8"/>
        <v>0</v>
      </c>
      <c r="I641" s="42">
        <v>20000</v>
      </c>
      <c r="J641" s="42">
        <v>0</v>
      </c>
      <c r="K641" s="42">
        <f>SUM(J641/I641)*100</f>
        <v>0</v>
      </c>
    </row>
    <row r="642" spans="1:11" ht="45.75">
      <c r="A642" s="17"/>
      <c r="B642" s="125" t="s">
        <v>278</v>
      </c>
      <c r="C642" s="40"/>
      <c r="D642" s="95"/>
      <c r="E642" s="42"/>
      <c r="F642" s="107">
        <v>45000</v>
      </c>
      <c r="G642" s="107">
        <v>0</v>
      </c>
      <c r="H642" s="42">
        <f>SUM(G642/F642)*100</f>
        <v>0</v>
      </c>
      <c r="I642" s="107">
        <v>0</v>
      </c>
      <c r="J642" s="107">
        <v>0</v>
      </c>
      <c r="K642" s="42" t="e">
        <f>SUM(J642/I642)*100</f>
        <v>#DIV/0!</v>
      </c>
    </row>
    <row r="643" spans="1:11" ht="30.75">
      <c r="A643" s="17"/>
      <c r="B643" s="125" t="s">
        <v>377</v>
      </c>
      <c r="C643" s="106"/>
      <c r="D643" s="95"/>
      <c r="E643" s="107">
        <v>0</v>
      </c>
      <c r="F643" s="107">
        <v>65575</v>
      </c>
      <c r="G643" s="107">
        <v>0</v>
      </c>
      <c r="H643" s="42">
        <f t="shared" si="8"/>
        <v>0</v>
      </c>
      <c r="I643" s="107">
        <v>65575</v>
      </c>
      <c r="J643" s="107">
        <v>0</v>
      </c>
      <c r="K643" s="42">
        <f>SUM(J643/I643)*100</f>
        <v>0</v>
      </c>
    </row>
    <row r="644" spans="1:11" ht="15.75">
      <c r="A644" s="17"/>
      <c r="B644" s="88" t="s">
        <v>179</v>
      </c>
      <c r="C644" s="181"/>
      <c r="D644" s="156"/>
      <c r="E644" s="89">
        <f>SUM(E646:E647)</f>
        <v>191195</v>
      </c>
      <c r="F644" s="89">
        <f>SUM(F646:F647)</f>
        <v>0</v>
      </c>
      <c r="G644" s="89">
        <f>SUM(G646:G647)</f>
        <v>0</v>
      </c>
      <c r="H644" s="37">
        <v>0</v>
      </c>
      <c r="I644" s="89">
        <f>SUM(I646:I647)</f>
        <v>0</v>
      </c>
      <c r="J644" s="89">
        <f>SUM(J646:J647)</f>
        <v>150000</v>
      </c>
      <c r="K644" s="89">
        <v>0</v>
      </c>
    </row>
    <row r="645" spans="1:11" ht="15.75">
      <c r="A645" s="17"/>
      <c r="B645" s="88" t="s">
        <v>4</v>
      </c>
      <c r="C645" s="181"/>
      <c r="D645" s="156"/>
      <c r="E645" s="89"/>
      <c r="F645" s="89"/>
      <c r="G645" s="89"/>
      <c r="H645" s="89"/>
      <c r="I645" s="89"/>
      <c r="J645" s="89"/>
      <c r="K645" s="193"/>
    </row>
    <row r="646" spans="1:11" ht="30.75">
      <c r="A646" s="17"/>
      <c r="B646" s="64" t="s">
        <v>387</v>
      </c>
      <c r="C646" s="40">
        <v>141000</v>
      </c>
      <c r="D646" s="41" t="e">
        <f>(C646/#REF!)*100</f>
        <v>#REF!</v>
      </c>
      <c r="E646" s="42">
        <f>200000-8805</f>
        <v>191195</v>
      </c>
      <c r="F646" s="42">
        <v>0</v>
      </c>
      <c r="G646" s="42">
        <v>0</v>
      </c>
      <c r="H646" s="42">
        <v>0</v>
      </c>
      <c r="I646" s="42">
        <v>0</v>
      </c>
      <c r="J646" s="42">
        <f>300000-100000-50000</f>
        <v>150000</v>
      </c>
      <c r="K646" s="42">
        <v>0</v>
      </c>
    </row>
    <row r="647" spans="1:11" ht="15.75">
      <c r="A647" s="17"/>
      <c r="B647" s="65"/>
      <c r="C647" s="66"/>
      <c r="D647" s="56"/>
      <c r="E647" s="67"/>
      <c r="F647" s="67"/>
      <c r="G647" s="67"/>
      <c r="H647" s="67"/>
      <c r="I647" s="67"/>
      <c r="J647" s="67"/>
      <c r="K647" s="120"/>
    </row>
    <row r="648" spans="1:11" ht="47.25">
      <c r="A648" s="59">
        <v>90019</v>
      </c>
      <c r="B648" s="136" t="s">
        <v>292</v>
      </c>
      <c r="C648" s="40"/>
      <c r="D648" s="95"/>
      <c r="E648" s="221">
        <f>SUM(E650:E651)</f>
        <v>0</v>
      </c>
      <c r="F648" s="221">
        <f>SUM(F650:F651)</f>
        <v>288985.52</v>
      </c>
      <c r="G648" s="221">
        <f>SUM(G650:G651)</f>
        <v>43626.61</v>
      </c>
      <c r="H648" s="34">
        <f>SUM(G648/F648)*100</f>
        <v>15.09646919333536</v>
      </c>
      <c r="I648" s="221">
        <f>SUM(I650:I651)</f>
        <v>126400</v>
      </c>
      <c r="J648" s="221">
        <f>SUM(J650:J651)</f>
        <v>145000</v>
      </c>
      <c r="K648" s="34">
        <f>SUM(J648/I648)*100</f>
        <v>114.71518987341771</v>
      </c>
    </row>
    <row r="649" spans="1:11" ht="12" customHeight="1">
      <c r="A649" s="17"/>
      <c r="B649" s="65"/>
      <c r="C649" s="66"/>
      <c r="D649" s="56"/>
      <c r="E649" s="67"/>
      <c r="F649" s="67"/>
      <c r="G649" s="67"/>
      <c r="H649" s="67"/>
      <c r="I649" s="67"/>
      <c r="J649" s="67"/>
      <c r="K649" s="120"/>
    </row>
    <row r="650" spans="1:11" ht="30.75">
      <c r="A650" s="17"/>
      <c r="B650" s="64" t="s">
        <v>279</v>
      </c>
      <c r="C650" s="40"/>
      <c r="D650" s="95"/>
      <c r="E650" s="42">
        <v>0</v>
      </c>
      <c r="F650" s="42">
        <v>146500</v>
      </c>
      <c r="G650" s="42">
        <v>27318.25</v>
      </c>
      <c r="H650" s="42">
        <f>SUM(G650/F650)*100</f>
        <v>18.64726962457338</v>
      </c>
      <c r="I650" s="42">
        <v>93000</v>
      </c>
      <c r="J650" s="42">
        <f>60000-16500</f>
        <v>43500</v>
      </c>
      <c r="K650" s="42">
        <f>SUM(J650/I650)*100</f>
        <v>46.774193548387096</v>
      </c>
    </row>
    <row r="651" spans="1:11" ht="60.75">
      <c r="A651" s="17"/>
      <c r="B651" s="65" t="s">
        <v>280</v>
      </c>
      <c r="C651" s="66"/>
      <c r="D651" s="56"/>
      <c r="E651" s="67">
        <v>0</v>
      </c>
      <c r="F651" s="67">
        <v>142485.52</v>
      </c>
      <c r="G651" s="67">
        <v>16308.36</v>
      </c>
      <c r="H651" s="42">
        <f>SUM(G651/F651)*100</f>
        <v>11.445626194156432</v>
      </c>
      <c r="I651" s="67">
        <v>33400</v>
      </c>
      <c r="J651" s="67">
        <f>117000-50000+34500</f>
        <v>101500</v>
      </c>
      <c r="K651" s="42">
        <f>SUM(J651/I651)*100</f>
        <v>303.8922155688623</v>
      </c>
    </row>
    <row r="652" spans="1:11" ht="12.75" customHeight="1">
      <c r="A652" s="47"/>
      <c r="B652" s="47"/>
      <c r="C652" s="48"/>
      <c r="D652" s="100"/>
      <c r="E652" s="50"/>
      <c r="F652" s="50"/>
      <c r="G652" s="50"/>
      <c r="H652" s="50"/>
      <c r="I652" s="50"/>
      <c r="J652" s="50"/>
      <c r="K652" s="229"/>
    </row>
    <row r="653" spans="1:11" ht="15.75">
      <c r="A653" s="58">
        <v>90095</v>
      </c>
      <c r="B653" s="59" t="s">
        <v>35</v>
      </c>
      <c r="C653" s="32">
        <f>SUM(C655:C666)</f>
        <v>871000</v>
      </c>
      <c r="D653" s="60" t="e">
        <f>(C653/#REF!)*100</f>
        <v>#REF!</v>
      </c>
      <c r="E653" s="34">
        <f>SUM(E655:E662,E663)</f>
        <v>703847</v>
      </c>
      <c r="F653" s="34">
        <f>SUM(F655:F662,F663)</f>
        <v>1628033</v>
      </c>
      <c r="G653" s="34">
        <f>SUM(G655:G662,G663)</f>
        <v>1101739.1199999999</v>
      </c>
      <c r="H653" s="34">
        <f>SUM(G653/F653)*100</f>
        <v>67.67302136995994</v>
      </c>
      <c r="I653" s="34">
        <f>SUM(I655:I662,I663)</f>
        <v>1620799.9500000002</v>
      </c>
      <c r="J653" s="34">
        <f>SUM(J655:J662,J663)</f>
        <v>1377000</v>
      </c>
      <c r="K653" s="34">
        <f>SUM(J653/I653)*100</f>
        <v>84.95804803054195</v>
      </c>
    </row>
    <row r="654" spans="1:11" ht="12.75" customHeight="1">
      <c r="A654" s="17"/>
      <c r="B654" s="17"/>
      <c r="C654" s="55"/>
      <c r="D654" s="56"/>
      <c r="E654" s="57"/>
      <c r="F654" s="57"/>
      <c r="G654" s="57"/>
      <c r="H654" s="57"/>
      <c r="I654" s="57"/>
      <c r="J654" s="57"/>
      <c r="K654" s="193"/>
    </row>
    <row r="655" spans="1:11" ht="30.75">
      <c r="A655" s="17"/>
      <c r="B655" s="64" t="s">
        <v>137</v>
      </c>
      <c r="C655" s="40">
        <v>50000</v>
      </c>
      <c r="D655" s="41" t="e">
        <f>(C655/#REF!)*100</f>
        <v>#REF!</v>
      </c>
      <c r="E655" s="42">
        <v>10000</v>
      </c>
      <c r="F655" s="42">
        <v>35000</v>
      </c>
      <c r="G655" s="42">
        <v>34973.35</v>
      </c>
      <c r="H655" s="42">
        <f>SUM(G655/F655)*100</f>
        <v>99.92385714285714</v>
      </c>
      <c r="I655" s="42">
        <v>34973.35</v>
      </c>
      <c r="J655" s="42">
        <f>36000-10000</f>
        <v>26000</v>
      </c>
      <c r="K655" s="42">
        <f>SUM(J655/I655)*100</f>
        <v>74.34232065272558</v>
      </c>
    </row>
    <row r="656" spans="1:11" ht="30.75">
      <c r="A656" s="17"/>
      <c r="B656" s="64" t="s">
        <v>25</v>
      </c>
      <c r="C656" s="40">
        <v>1000</v>
      </c>
      <c r="D656" s="95" t="e">
        <f>(C656/#REF!)*100</f>
        <v>#REF!</v>
      </c>
      <c r="E656" s="42">
        <v>1000</v>
      </c>
      <c r="F656" s="42">
        <v>1000</v>
      </c>
      <c r="G656" s="42">
        <v>0</v>
      </c>
      <c r="H656" s="42">
        <f>SUM(G656/F656)*100</f>
        <v>0</v>
      </c>
      <c r="I656" s="42">
        <v>1000</v>
      </c>
      <c r="J656" s="42">
        <v>1000</v>
      </c>
      <c r="K656" s="42">
        <f>SUM(J656/I656)*100</f>
        <v>100</v>
      </c>
    </row>
    <row r="657" spans="1:11" ht="60.75">
      <c r="A657" s="17"/>
      <c r="B657" s="64" t="s">
        <v>380</v>
      </c>
      <c r="C657" s="40"/>
      <c r="D657" s="95"/>
      <c r="E657" s="42"/>
      <c r="F657" s="42">
        <v>25620</v>
      </c>
      <c r="G657" s="42">
        <v>25620</v>
      </c>
      <c r="H657" s="42">
        <f>SUM(G657/F657)*100</f>
        <v>100</v>
      </c>
      <c r="I657" s="42">
        <v>25620</v>
      </c>
      <c r="J657" s="42">
        <v>0</v>
      </c>
      <c r="K657" s="42">
        <v>0</v>
      </c>
    </row>
    <row r="658" spans="1:11" ht="30.75">
      <c r="A658" s="17"/>
      <c r="B658" s="64" t="s">
        <v>381</v>
      </c>
      <c r="C658" s="40"/>
      <c r="D658" s="95"/>
      <c r="E658" s="42"/>
      <c r="F658" s="42">
        <v>92326</v>
      </c>
      <c r="G658" s="42">
        <v>0</v>
      </c>
      <c r="H658" s="42">
        <f>SUM(G658/F658)*100</f>
        <v>0</v>
      </c>
      <c r="I658" s="42">
        <v>92326</v>
      </c>
      <c r="J658" s="42">
        <v>0</v>
      </c>
      <c r="K658" s="42">
        <v>0</v>
      </c>
    </row>
    <row r="659" spans="1:11" ht="45.75">
      <c r="A659" s="17"/>
      <c r="B659" s="64" t="s">
        <v>382</v>
      </c>
      <c r="C659" s="40"/>
      <c r="D659" s="95"/>
      <c r="E659" s="42"/>
      <c r="F659" s="42">
        <v>0</v>
      </c>
      <c r="G659" s="42">
        <v>0</v>
      </c>
      <c r="H659" s="42">
        <v>0</v>
      </c>
      <c r="I659" s="42">
        <v>0</v>
      </c>
      <c r="J659" s="42">
        <f>70000-5000</f>
        <v>65000</v>
      </c>
      <c r="K659" s="42">
        <v>0</v>
      </c>
    </row>
    <row r="660" spans="1:11" ht="60.75">
      <c r="A660" s="17"/>
      <c r="B660" s="64" t="s">
        <v>379</v>
      </c>
      <c r="C660" s="40"/>
      <c r="D660" s="95"/>
      <c r="E660" s="42"/>
      <c r="F660" s="42">
        <v>16000</v>
      </c>
      <c r="G660" s="42">
        <v>0</v>
      </c>
      <c r="H660" s="42">
        <v>0</v>
      </c>
      <c r="I660" s="42">
        <v>16000</v>
      </c>
      <c r="J660" s="42">
        <f>60000-40000</f>
        <v>20000</v>
      </c>
      <c r="K660" s="42">
        <f>SUM(J660/I660)*100</f>
        <v>125</v>
      </c>
    </row>
    <row r="661" spans="1:11" ht="15.75">
      <c r="A661" s="17"/>
      <c r="B661" s="64" t="s">
        <v>378</v>
      </c>
      <c r="C661" s="40"/>
      <c r="D661" s="95"/>
      <c r="E661" s="42"/>
      <c r="F661" s="42">
        <v>8000</v>
      </c>
      <c r="G661" s="42">
        <v>0</v>
      </c>
      <c r="H661" s="42">
        <v>0</v>
      </c>
      <c r="I661" s="42">
        <v>8000</v>
      </c>
      <c r="J661" s="42">
        <f>15000-5000-5000</f>
        <v>5000</v>
      </c>
      <c r="K661" s="42">
        <v>0</v>
      </c>
    </row>
    <row r="662" spans="1:11" ht="45.75">
      <c r="A662" s="17"/>
      <c r="B662" s="64" t="s">
        <v>161</v>
      </c>
      <c r="C662" s="40">
        <v>120000</v>
      </c>
      <c r="D662" s="95" t="e">
        <f>(C662/#REF!)*100</f>
        <v>#REF!</v>
      </c>
      <c r="E662" s="42">
        <v>112000</v>
      </c>
      <c r="F662" s="42">
        <v>112000</v>
      </c>
      <c r="G662" s="42">
        <v>82070.29</v>
      </c>
      <c r="H662" s="42">
        <f>SUM(G662/F662)*100</f>
        <v>73.27704464285713</v>
      </c>
      <c r="I662" s="42">
        <v>104805</v>
      </c>
      <c r="J662" s="42">
        <f>135000-20000-15000</f>
        <v>100000</v>
      </c>
      <c r="K662" s="42">
        <f>SUM(J662/I662)*100</f>
        <v>95.41529507180002</v>
      </c>
    </row>
    <row r="663" spans="1:11" ht="15.75">
      <c r="A663" s="17"/>
      <c r="B663" s="93" t="s">
        <v>179</v>
      </c>
      <c r="C663" s="35"/>
      <c r="D663" s="94"/>
      <c r="E663" s="37">
        <f>SUM(E665:E670)</f>
        <v>580847</v>
      </c>
      <c r="F663" s="37">
        <f>SUM(F665:F674)</f>
        <v>1338087</v>
      </c>
      <c r="G663" s="37">
        <f>SUM(G665:G674)</f>
        <v>959075.48</v>
      </c>
      <c r="H663" s="37">
        <f>SUM(G663/F663)*100</f>
        <v>71.6751212738783</v>
      </c>
      <c r="I663" s="37">
        <f>SUM(I665:I674)</f>
        <v>1338075.6</v>
      </c>
      <c r="J663" s="37">
        <f>SUM(J665:J674)</f>
        <v>1160000</v>
      </c>
      <c r="K663" s="62">
        <f>SUM(J663/I663)*100</f>
        <v>86.69166375950655</v>
      </c>
    </row>
    <row r="664" spans="1:11" ht="15.75">
      <c r="A664" s="17"/>
      <c r="B664" s="93" t="s">
        <v>4</v>
      </c>
      <c r="C664" s="35"/>
      <c r="D664" s="94"/>
      <c r="E664" s="37"/>
      <c r="F664" s="37"/>
      <c r="G664" s="37"/>
      <c r="H664" s="37"/>
      <c r="I664" s="37"/>
      <c r="J664" s="37"/>
      <c r="K664" s="193"/>
    </row>
    <row r="665" spans="1:11" ht="45.75">
      <c r="A665" s="17"/>
      <c r="B665" s="64" t="s">
        <v>384</v>
      </c>
      <c r="C665" s="40">
        <v>700000</v>
      </c>
      <c r="D665" s="41" t="e">
        <f>(C665/#REF!)*100</f>
        <v>#REF!</v>
      </c>
      <c r="E665" s="42">
        <v>580847</v>
      </c>
      <c r="F665" s="42">
        <v>580847</v>
      </c>
      <c r="G665" s="42">
        <v>580846.88</v>
      </c>
      <c r="H665" s="42">
        <f>SUM(G665/F665)*100</f>
        <v>99.9999793405148</v>
      </c>
      <c r="I665" s="42">
        <v>580847</v>
      </c>
      <c r="J665" s="42">
        <v>0</v>
      </c>
      <c r="K665" s="42">
        <f>SUM(J665/I665)*100</f>
        <v>0</v>
      </c>
    </row>
    <row r="666" spans="1:11" ht="45.75">
      <c r="A666" s="17"/>
      <c r="B666" s="188" t="s">
        <v>385</v>
      </c>
      <c r="C666" s="40"/>
      <c r="D666" s="56"/>
      <c r="E666" s="42">
        <v>0</v>
      </c>
      <c r="F666" s="42">
        <v>700000</v>
      </c>
      <c r="G666" s="42">
        <v>350000</v>
      </c>
      <c r="H666" s="42">
        <f>SUM(G666/F666)*100</f>
        <v>50</v>
      </c>
      <c r="I666" s="42">
        <v>700000</v>
      </c>
      <c r="J666" s="42">
        <f>300000+500000</f>
        <v>800000</v>
      </c>
      <c r="K666" s="42">
        <f>SUM(J666/I666)*100</f>
        <v>114.28571428571428</v>
      </c>
    </row>
    <row r="667" spans="1:11" ht="45.75">
      <c r="A667" s="17"/>
      <c r="B667" s="188" t="s">
        <v>386</v>
      </c>
      <c r="C667" s="66"/>
      <c r="D667" s="56"/>
      <c r="E667" s="67"/>
      <c r="F667" s="67">
        <v>0</v>
      </c>
      <c r="G667" s="67">
        <v>0</v>
      </c>
      <c r="H667" s="42">
        <v>0</v>
      </c>
      <c r="I667" s="67">
        <v>0</v>
      </c>
      <c r="J667" s="67">
        <v>300000</v>
      </c>
      <c r="K667" s="42">
        <v>0</v>
      </c>
    </row>
    <row r="668" spans="1:11" ht="30.75">
      <c r="A668" s="17"/>
      <c r="B668" s="126" t="s">
        <v>281</v>
      </c>
      <c r="C668" s="99"/>
      <c r="D668" s="100"/>
      <c r="E668" s="101">
        <v>0</v>
      </c>
      <c r="F668" s="101">
        <v>5680</v>
      </c>
      <c r="G668" s="101">
        <v>5679.1</v>
      </c>
      <c r="H668" s="42">
        <v>0</v>
      </c>
      <c r="I668" s="101">
        <v>5679.1</v>
      </c>
      <c r="J668" s="101">
        <v>0</v>
      </c>
      <c r="K668" s="42">
        <f>SUM(J668/I668)*100</f>
        <v>0</v>
      </c>
    </row>
    <row r="669" spans="1:11" ht="45.75">
      <c r="A669" s="17"/>
      <c r="B669" s="126" t="s">
        <v>383</v>
      </c>
      <c r="C669" s="99"/>
      <c r="D669" s="100"/>
      <c r="E669" s="101"/>
      <c r="F669" s="101">
        <v>29000</v>
      </c>
      <c r="G669" s="101">
        <v>0</v>
      </c>
      <c r="H669" s="42">
        <v>0</v>
      </c>
      <c r="I669" s="101">
        <v>29000</v>
      </c>
      <c r="J669" s="101">
        <v>0</v>
      </c>
      <c r="K669" s="42">
        <v>0</v>
      </c>
    </row>
    <row r="670" spans="1:11" ht="45.75" customHeight="1">
      <c r="A670" s="17"/>
      <c r="B670" s="126" t="s">
        <v>395</v>
      </c>
      <c r="C670" s="99"/>
      <c r="D670" s="100"/>
      <c r="E670" s="101">
        <v>0</v>
      </c>
      <c r="F670" s="101">
        <v>22560</v>
      </c>
      <c r="G670" s="101">
        <v>22549.5</v>
      </c>
      <c r="H670" s="42">
        <v>0</v>
      </c>
      <c r="I670" s="101">
        <v>22549.5</v>
      </c>
      <c r="J670" s="101">
        <v>0</v>
      </c>
      <c r="K670" s="42">
        <f>SUM(J670/I670)*100</f>
        <v>0</v>
      </c>
    </row>
    <row r="671" spans="1:11" ht="30.75">
      <c r="A671" s="17"/>
      <c r="B671" s="183" t="s">
        <v>399</v>
      </c>
      <c r="C671" s="99"/>
      <c r="D671" s="100"/>
      <c r="E671" s="101"/>
      <c r="F671" s="101">
        <v>0</v>
      </c>
      <c r="G671" s="101">
        <v>0</v>
      </c>
      <c r="H671" s="101">
        <v>0</v>
      </c>
      <c r="I671" s="101">
        <v>0</v>
      </c>
      <c r="J671" s="101">
        <v>0</v>
      </c>
      <c r="K671" s="101">
        <v>0</v>
      </c>
    </row>
    <row r="672" spans="1:11" ht="30.75">
      <c r="A672" s="17"/>
      <c r="B672" s="183" t="s">
        <v>396</v>
      </c>
      <c r="C672" s="99"/>
      <c r="D672" s="100"/>
      <c r="E672" s="101"/>
      <c r="F672" s="101">
        <v>0</v>
      </c>
      <c r="G672" s="101">
        <v>0</v>
      </c>
      <c r="H672" s="101">
        <v>0</v>
      </c>
      <c r="I672" s="101">
        <v>0</v>
      </c>
      <c r="J672" s="101">
        <v>0</v>
      </c>
      <c r="K672" s="101">
        <v>0</v>
      </c>
    </row>
    <row r="673" spans="1:11" ht="30.75">
      <c r="A673" s="17"/>
      <c r="B673" s="183" t="s">
        <v>397</v>
      </c>
      <c r="C673" s="99"/>
      <c r="D673" s="100"/>
      <c r="E673" s="101"/>
      <c r="F673" s="101">
        <v>0</v>
      </c>
      <c r="G673" s="101">
        <v>0</v>
      </c>
      <c r="H673" s="101">
        <v>0</v>
      </c>
      <c r="I673" s="101">
        <v>0</v>
      </c>
      <c r="J673" s="101">
        <v>50000</v>
      </c>
      <c r="K673" s="101">
        <v>0</v>
      </c>
    </row>
    <row r="674" spans="1:11" ht="30.75">
      <c r="A674" s="59"/>
      <c r="B674" s="183" t="s">
        <v>398</v>
      </c>
      <c r="C674" s="99"/>
      <c r="D674" s="100"/>
      <c r="E674" s="101"/>
      <c r="F674" s="101">
        <v>0</v>
      </c>
      <c r="G674" s="101">
        <v>0</v>
      </c>
      <c r="H674" s="101">
        <v>0</v>
      </c>
      <c r="I674" s="101">
        <v>0</v>
      </c>
      <c r="J674" s="101">
        <v>10000</v>
      </c>
      <c r="K674" s="101">
        <v>0</v>
      </c>
    </row>
    <row r="675" spans="1:11" ht="15.75">
      <c r="A675" s="43"/>
      <c r="B675" s="183"/>
      <c r="C675" s="76"/>
      <c r="D675" s="184"/>
      <c r="E675" s="77"/>
      <c r="F675" s="77"/>
      <c r="G675" s="77"/>
      <c r="H675" s="77"/>
      <c r="I675" s="77"/>
      <c r="J675" s="77"/>
      <c r="K675" s="77"/>
    </row>
    <row r="676" spans="1:11" ht="12.75" customHeight="1">
      <c r="A676" s="47"/>
      <c r="B676" s="185"/>
      <c r="C676" s="48"/>
      <c r="D676" s="56"/>
      <c r="E676" s="50"/>
      <c r="F676" s="50"/>
      <c r="G676" s="50"/>
      <c r="H676" s="50"/>
      <c r="I676" s="50"/>
      <c r="J676" s="50"/>
      <c r="K676" s="229"/>
    </row>
    <row r="677" spans="1:11" ht="32.25" thickBot="1">
      <c r="A677" s="51">
        <v>921</v>
      </c>
      <c r="B677" s="167" t="s">
        <v>85</v>
      </c>
      <c r="C677" s="53" t="e">
        <f>SUM(C679,C692,C697,C702)</f>
        <v>#REF!</v>
      </c>
      <c r="D677" s="24" t="e">
        <f>(C677/#REF!)*100</f>
        <v>#REF!</v>
      </c>
      <c r="E677" s="54" t="e">
        <f>SUM(E679,E692,E697,E702)</f>
        <v>#REF!</v>
      </c>
      <c r="F677" s="54">
        <f>SUM(F679,F692,F697,F702)</f>
        <v>4045116</v>
      </c>
      <c r="G677" s="54">
        <f>SUM(G679,G692,G697,G702)</f>
        <v>2175152.5</v>
      </c>
      <c r="H677" s="24">
        <f>SUM(G677/F677)*100</f>
        <v>53.77231456403228</v>
      </c>
      <c r="I677" s="54">
        <f>SUM(I679,I692,I697,I702)</f>
        <v>3843769</v>
      </c>
      <c r="J677" s="54">
        <f>SUM(J679,J692,J697,J702)</f>
        <v>3689190</v>
      </c>
      <c r="K677" s="24">
        <f>SUM(J677/I677)*100</f>
        <v>95.97845239919465</v>
      </c>
    </row>
    <row r="678" spans="1:11" ht="12.75" customHeight="1" thickTop="1">
      <c r="A678" s="17"/>
      <c r="B678" s="43"/>
      <c r="C678" s="35"/>
      <c r="D678" s="56"/>
      <c r="E678" s="37"/>
      <c r="F678" s="37"/>
      <c r="G678" s="37"/>
      <c r="H678" s="37"/>
      <c r="I678" s="37"/>
      <c r="J678" s="37"/>
      <c r="K678" s="193"/>
    </row>
    <row r="679" spans="1:11" ht="15.75">
      <c r="A679" s="58">
        <v>92109</v>
      </c>
      <c r="B679" s="144" t="s">
        <v>86</v>
      </c>
      <c r="C679" s="69">
        <f>SUM(C681:C689)</f>
        <v>1080000</v>
      </c>
      <c r="D679" s="33" t="e">
        <f>(C679/#REF!)*100</f>
        <v>#REF!</v>
      </c>
      <c r="E679" s="168">
        <f>SUM(E681,E689:E689)</f>
        <v>1526286</v>
      </c>
      <c r="F679" s="168">
        <f>SUM(F681,F689:F690)</f>
        <v>1567786</v>
      </c>
      <c r="G679" s="168">
        <f>SUM(G681,G689:G690)</f>
        <v>1175698</v>
      </c>
      <c r="H679" s="34">
        <f>SUM(G679/F679)*100</f>
        <v>74.99097453351415</v>
      </c>
      <c r="I679" s="168">
        <f>SUM(I681,I689:I690)</f>
        <v>1517786</v>
      </c>
      <c r="J679" s="168">
        <f>SUM(J681,J689:J690)</f>
        <v>1612190</v>
      </c>
      <c r="K679" s="34">
        <f>SUM(J679/I679)*100</f>
        <v>106.21984917504838</v>
      </c>
    </row>
    <row r="680" spans="1:11" ht="12.75" customHeight="1">
      <c r="A680" s="17"/>
      <c r="B680" s="43"/>
      <c r="C680" s="61"/>
      <c r="D680" s="94"/>
      <c r="E680" s="62"/>
      <c r="F680" s="62"/>
      <c r="G680" s="62"/>
      <c r="H680" s="62"/>
      <c r="I680" s="62"/>
      <c r="J680" s="62"/>
      <c r="K680" s="229"/>
    </row>
    <row r="681" spans="1:11" ht="15.75">
      <c r="A681" s="17"/>
      <c r="B681" s="91" t="s">
        <v>214</v>
      </c>
      <c r="C681" s="40">
        <v>900000</v>
      </c>
      <c r="D681" s="41" t="e">
        <f>(C681/#REF!)*100</f>
        <v>#REF!</v>
      </c>
      <c r="E681" s="42">
        <v>1406286</v>
      </c>
      <c r="F681" s="42">
        <v>1436286</v>
      </c>
      <c r="G681" s="42">
        <v>1175698</v>
      </c>
      <c r="H681" s="42">
        <f>SUM(G681/F681)*100</f>
        <v>81.85681681782042</v>
      </c>
      <c r="I681" s="42">
        <v>1436286</v>
      </c>
      <c r="J681" s="42">
        <f>2062790-200000-60000-200000-40600-50000</f>
        <v>1512190</v>
      </c>
      <c r="K681" s="42">
        <f>SUM(J681/I681)*100</f>
        <v>105.28474133981672</v>
      </c>
    </row>
    <row r="682" spans="1:11" ht="15.75">
      <c r="A682" s="17"/>
      <c r="B682" s="90" t="s">
        <v>130</v>
      </c>
      <c r="C682" s="66"/>
      <c r="D682" s="56"/>
      <c r="E682" s="67"/>
      <c r="F682" s="67"/>
      <c r="G682" s="67"/>
      <c r="H682" s="67"/>
      <c r="I682" s="67"/>
      <c r="J682" s="67"/>
      <c r="K682" s="120"/>
    </row>
    <row r="683" spans="1:11" ht="30.75">
      <c r="A683" s="17"/>
      <c r="B683" s="87" t="s">
        <v>221</v>
      </c>
      <c r="C683" s="66">
        <v>180000</v>
      </c>
      <c r="D683" s="56" t="e">
        <f>(C683/#REF!)*100</f>
        <v>#REF!</v>
      </c>
      <c r="E683" s="67">
        <v>180000</v>
      </c>
      <c r="F683" s="67">
        <v>180000</v>
      </c>
      <c r="G683" s="67">
        <v>180000</v>
      </c>
      <c r="H683" s="67">
        <f aca="true" t="shared" si="9" ref="H683:H690">SUM(G683/F683)*100</f>
        <v>100</v>
      </c>
      <c r="I683" s="67">
        <v>180000</v>
      </c>
      <c r="J683" s="67">
        <v>0</v>
      </c>
      <c r="K683" s="67">
        <f>SUM(J683/I683)*100</f>
        <v>0</v>
      </c>
    </row>
    <row r="684" spans="1:11" ht="15.75" customHeight="1">
      <c r="A684" s="17"/>
      <c r="B684" s="87" t="s">
        <v>282</v>
      </c>
      <c r="C684" s="66"/>
      <c r="D684" s="56"/>
      <c r="E684" s="67">
        <v>0</v>
      </c>
      <c r="F684" s="67">
        <v>30000</v>
      </c>
      <c r="G684" s="67">
        <v>30000</v>
      </c>
      <c r="H684" s="67">
        <f t="shared" si="9"/>
        <v>100</v>
      </c>
      <c r="I684" s="67">
        <v>30000</v>
      </c>
      <c r="J684" s="67">
        <v>0</v>
      </c>
      <c r="K684" s="67">
        <f>SUM(J684/I684)*100</f>
        <v>0</v>
      </c>
    </row>
    <row r="685" spans="1:11" ht="15.75">
      <c r="A685" s="17"/>
      <c r="B685" s="87" t="s">
        <v>222</v>
      </c>
      <c r="C685" s="66"/>
      <c r="D685" s="56"/>
      <c r="E685" s="67">
        <v>100000</v>
      </c>
      <c r="F685" s="67">
        <v>100000</v>
      </c>
      <c r="G685" s="67">
        <v>100000</v>
      </c>
      <c r="H685" s="67">
        <f t="shared" si="9"/>
        <v>100</v>
      </c>
      <c r="I685" s="67">
        <v>100000</v>
      </c>
      <c r="J685" s="67">
        <f>640600-200000-200000-40600-50000</f>
        <v>150000</v>
      </c>
      <c r="K685" s="67">
        <f>SUM(J685/I685)*100</f>
        <v>150</v>
      </c>
    </row>
    <row r="686" spans="1:11" ht="15.75">
      <c r="A686" s="17"/>
      <c r="B686" s="87" t="s">
        <v>223</v>
      </c>
      <c r="C686" s="66"/>
      <c r="D686" s="56"/>
      <c r="E686" s="67">
        <v>24000</v>
      </c>
      <c r="F686" s="67">
        <v>24000</v>
      </c>
      <c r="G686" s="67">
        <v>24000</v>
      </c>
      <c r="H686" s="67">
        <f t="shared" si="9"/>
        <v>100</v>
      </c>
      <c r="I686" s="67">
        <v>24000</v>
      </c>
      <c r="J686" s="67">
        <v>0</v>
      </c>
      <c r="K686" s="67">
        <f>SUM(J686/I686)*100</f>
        <v>0</v>
      </c>
    </row>
    <row r="687" spans="1:11" ht="15.75">
      <c r="A687" s="17"/>
      <c r="B687" s="87" t="s">
        <v>224</v>
      </c>
      <c r="C687" s="66"/>
      <c r="D687" s="56"/>
      <c r="E687" s="67">
        <v>59500</v>
      </c>
      <c r="F687" s="67">
        <v>59500</v>
      </c>
      <c r="G687" s="67">
        <v>59500</v>
      </c>
      <c r="H687" s="67">
        <f t="shared" si="9"/>
        <v>100</v>
      </c>
      <c r="I687" s="67">
        <v>59500</v>
      </c>
      <c r="J687" s="67">
        <v>0</v>
      </c>
      <c r="K687" s="67">
        <f>SUM(J687/I687)*100</f>
        <v>0</v>
      </c>
    </row>
    <row r="688" spans="1:11" ht="15.75">
      <c r="A688" s="17"/>
      <c r="B688" s="86" t="s">
        <v>392</v>
      </c>
      <c r="C688" s="40"/>
      <c r="D688" s="41"/>
      <c r="E688" s="42"/>
      <c r="F688" s="42">
        <v>0</v>
      </c>
      <c r="G688" s="42">
        <v>0</v>
      </c>
      <c r="H688" s="42">
        <v>0</v>
      </c>
      <c r="I688" s="42">
        <v>0</v>
      </c>
      <c r="J688" s="42">
        <f>90400-60000</f>
        <v>30400</v>
      </c>
      <c r="K688" s="42">
        <v>0</v>
      </c>
    </row>
    <row r="689" spans="1:11" ht="30.75">
      <c r="A689" s="17"/>
      <c r="B689" s="161" t="s">
        <v>213</v>
      </c>
      <c r="C689" s="106">
        <v>0</v>
      </c>
      <c r="D689" s="95"/>
      <c r="E689" s="107">
        <v>120000</v>
      </c>
      <c r="F689" s="107">
        <v>120000</v>
      </c>
      <c r="G689" s="107">
        <v>0</v>
      </c>
      <c r="H689" s="107">
        <f t="shared" si="9"/>
        <v>0</v>
      </c>
      <c r="I689" s="107">
        <v>70000</v>
      </c>
      <c r="J689" s="107">
        <f>120000-20000</f>
        <v>100000</v>
      </c>
      <c r="K689" s="42">
        <f>SUM(J689/I689)*100</f>
        <v>142.85714285714286</v>
      </c>
    </row>
    <row r="690" spans="1:11" ht="30.75">
      <c r="A690" s="59"/>
      <c r="B690" s="161" t="s">
        <v>389</v>
      </c>
      <c r="C690" s="106"/>
      <c r="D690" s="95"/>
      <c r="E690" s="107"/>
      <c r="F690" s="107">
        <v>11500</v>
      </c>
      <c r="G690" s="107">
        <v>0</v>
      </c>
      <c r="H690" s="107">
        <f t="shared" si="9"/>
        <v>0</v>
      </c>
      <c r="I690" s="107">
        <v>11500</v>
      </c>
      <c r="J690" s="107">
        <v>0</v>
      </c>
      <c r="K690" s="107">
        <f>SUM(J690/I690)*100</f>
        <v>0</v>
      </c>
    </row>
    <row r="691" spans="1:11" ht="12.75" customHeight="1">
      <c r="A691" s="47"/>
      <c r="B691" s="185"/>
      <c r="C691" s="48"/>
      <c r="D691" s="100"/>
      <c r="E691" s="50"/>
      <c r="F691" s="50"/>
      <c r="G691" s="50"/>
      <c r="H691" s="50"/>
      <c r="I691" s="50"/>
      <c r="J691" s="50"/>
      <c r="K691" s="229"/>
    </row>
    <row r="692" spans="1:11" ht="15.75">
      <c r="A692" s="58">
        <v>92116</v>
      </c>
      <c r="B692" s="80" t="s">
        <v>87</v>
      </c>
      <c r="C692" s="32">
        <f>SUM(C694:C694,)</f>
        <v>950000</v>
      </c>
      <c r="D692" s="60" t="e">
        <f>(C692/#REF!)*100</f>
        <v>#REF!</v>
      </c>
      <c r="E692" s="34">
        <f>SUM(E694:E694,)</f>
        <v>1200000</v>
      </c>
      <c r="F692" s="34">
        <f>SUM(F694:F695,)</f>
        <v>1202965</v>
      </c>
      <c r="G692" s="34">
        <f>SUM(G694:G695,)</f>
        <v>902965</v>
      </c>
      <c r="H692" s="34">
        <f>SUM(G692/F692)*100</f>
        <v>75.06161858408184</v>
      </c>
      <c r="I692" s="34">
        <f>SUM(I694:I695,)</f>
        <v>1202965</v>
      </c>
      <c r="J692" s="34">
        <f>SUM(J694:J694,)</f>
        <v>1200000</v>
      </c>
      <c r="K692" s="34">
        <f>SUM(J692/I692)*100</f>
        <v>99.75352566367268</v>
      </c>
    </row>
    <row r="693" spans="1:11" ht="15.75">
      <c r="A693" s="17"/>
      <c r="B693" s="43"/>
      <c r="C693" s="48"/>
      <c r="D693" s="56"/>
      <c r="E693" s="50"/>
      <c r="F693" s="50"/>
      <c r="G693" s="50"/>
      <c r="H693" s="50"/>
      <c r="I693" s="50"/>
      <c r="J693" s="50"/>
      <c r="K693" s="229"/>
    </row>
    <row r="694" spans="1:11" ht="15.75">
      <c r="A694" s="17"/>
      <c r="B694" s="186" t="s">
        <v>20</v>
      </c>
      <c r="C694" s="40">
        <v>950000</v>
      </c>
      <c r="D694" s="41" t="e">
        <f>(C694/#REF!)*100</f>
        <v>#REF!</v>
      </c>
      <c r="E694" s="42">
        <v>1200000</v>
      </c>
      <c r="F694" s="42">
        <v>1200000</v>
      </c>
      <c r="G694" s="42">
        <v>900000</v>
      </c>
      <c r="H694" s="42">
        <f>SUM(G694/F694)*100</f>
        <v>75</v>
      </c>
      <c r="I694" s="42">
        <v>1200000</v>
      </c>
      <c r="J694" s="42">
        <f>1287100-50000-37100</f>
        <v>1200000</v>
      </c>
      <c r="K694" s="42">
        <f>SUM(J694/I694)*100</f>
        <v>100</v>
      </c>
    </row>
    <row r="695" spans="1:11" ht="15.75">
      <c r="A695" s="17"/>
      <c r="B695" s="180" t="s">
        <v>388</v>
      </c>
      <c r="C695" s="66"/>
      <c r="D695" s="56"/>
      <c r="E695" s="67"/>
      <c r="F695" s="67">
        <v>2965</v>
      </c>
      <c r="G695" s="67">
        <v>2965</v>
      </c>
      <c r="H695" s="42">
        <f>SUM(G695/F695)*100</f>
        <v>100</v>
      </c>
      <c r="I695" s="67">
        <v>2965</v>
      </c>
      <c r="J695" s="67">
        <v>0</v>
      </c>
      <c r="K695" s="67">
        <v>0</v>
      </c>
    </row>
    <row r="696" spans="1:11" ht="12.75" customHeight="1">
      <c r="A696" s="17"/>
      <c r="B696" s="121"/>
      <c r="C696" s="48"/>
      <c r="D696" s="56"/>
      <c r="E696" s="50"/>
      <c r="F696" s="50"/>
      <c r="G696" s="50"/>
      <c r="H696" s="50"/>
      <c r="I696" s="50"/>
      <c r="J696" s="50"/>
      <c r="K696" s="229"/>
    </row>
    <row r="697" spans="1:11" ht="31.5">
      <c r="A697" s="58">
        <v>92120</v>
      </c>
      <c r="B697" s="187" t="s">
        <v>144</v>
      </c>
      <c r="C697" s="32">
        <f>SUM(C699:C699)</f>
        <v>2389487</v>
      </c>
      <c r="D697" s="60" t="e">
        <f>(C697/#REF!)*100</f>
        <v>#REF!</v>
      </c>
      <c r="E697" s="34">
        <f>SUM(E699:E699)</f>
        <v>1800000</v>
      </c>
      <c r="F697" s="34">
        <f>SUM(F699:F700)</f>
        <v>1189365</v>
      </c>
      <c r="G697" s="34">
        <f>SUM(G699:G700)</f>
        <v>36000</v>
      </c>
      <c r="H697" s="34">
        <f>SUM(G697/F697)*100</f>
        <v>3.0268252386777816</v>
      </c>
      <c r="I697" s="34">
        <f>SUM(I699:I700)</f>
        <v>1059818</v>
      </c>
      <c r="J697" s="34">
        <f>SUM(J699:J700)</f>
        <v>805000</v>
      </c>
      <c r="K697" s="34">
        <f>SUM(J697/I697)*100</f>
        <v>75.95643780347191</v>
      </c>
    </row>
    <row r="698" spans="1:11" ht="6.75" customHeight="1">
      <c r="A698" s="17"/>
      <c r="B698" s="121"/>
      <c r="C698" s="55"/>
      <c r="D698" s="56"/>
      <c r="E698" s="57"/>
      <c r="F698" s="57"/>
      <c r="G698" s="57"/>
      <c r="H698" s="57"/>
      <c r="I698" s="57"/>
      <c r="J698" s="57"/>
      <c r="K698" s="193"/>
    </row>
    <row r="699" spans="1:11" ht="90.75">
      <c r="A699" s="17"/>
      <c r="B699" s="188" t="s">
        <v>249</v>
      </c>
      <c r="C699" s="40">
        <v>2389487</v>
      </c>
      <c r="D699" s="41" t="e">
        <f>(C699/#REF!)*100</f>
        <v>#REF!</v>
      </c>
      <c r="E699" s="42">
        <v>1800000</v>
      </c>
      <c r="F699" s="42">
        <v>1189365</v>
      </c>
      <c r="G699" s="42">
        <v>36000</v>
      </c>
      <c r="H699" s="42">
        <f>SUM(G699/F699)*100</f>
        <v>3.0268252386777816</v>
      </c>
      <c r="I699" s="42">
        <v>1059818</v>
      </c>
      <c r="J699" s="42">
        <f>1800000-600000-300000-100000</f>
        <v>800000</v>
      </c>
      <c r="K699" s="42">
        <f>SUM(J699/I699)*100</f>
        <v>75.48465868668016</v>
      </c>
    </row>
    <row r="700" spans="1:11" ht="45.75">
      <c r="A700" s="17"/>
      <c r="B700" s="161" t="s">
        <v>391</v>
      </c>
      <c r="C700" s="106"/>
      <c r="D700" s="95"/>
      <c r="E700" s="107"/>
      <c r="F700" s="107">
        <v>0</v>
      </c>
      <c r="G700" s="107">
        <v>0</v>
      </c>
      <c r="H700" s="107">
        <v>0</v>
      </c>
      <c r="I700" s="107">
        <v>0</v>
      </c>
      <c r="J700" s="107">
        <v>5000</v>
      </c>
      <c r="K700" s="107">
        <v>0</v>
      </c>
    </row>
    <row r="701" spans="1:11" ht="12.75" customHeight="1">
      <c r="A701" s="17"/>
      <c r="B701" s="121"/>
      <c r="C701" s="35"/>
      <c r="D701" s="56"/>
      <c r="E701" s="37"/>
      <c r="F701" s="37"/>
      <c r="G701" s="37"/>
      <c r="H701" s="37"/>
      <c r="I701" s="37"/>
      <c r="J701" s="37"/>
      <c r="K701" s="193"/>
    </row>
    <row r="702" spans="1:11" ht="15.75">
      <c r="A702" s="58">
        <v>92195</v>
      </c>
      <c r="B702" s="189" t="s">
        <v>35</v>
      </c>
      <c r="C702" s="32" t="e">
        <f>SUM(#REF!,C704:C705)</f>
        <v>#REF!</v>
      </c>
      <c r="D702" s="60" t="e">
        <f>(C702/#REF!)*100</f>
        <v>#REF!</v>
      </c>
      <c r="E702" s="34" t="e">
        <f>SUM(E704:E705,#REF!)</f>
        <v>#REF!</v>
      </c>
      <c r="F702" s="34">
        <f>SUM(F704:F705)</f>
        <v>85000</v>
      </c>
      <c r="G702" s="34">
        <f>SUM(G704:G705)</f>
        <v>60489.5</v>
      </c>
      <c r="H702" s="34">
        <f>SUM(G702/F702)*100</f>
        <v>71.16411764705882</v>
      </c>
      <c r="I702" s="34">
        <f>SUM(I704:I705)</f>
        <v>63200</v>
      </c>
      <c r="J702" s="34">
        <f>SUM(J704:J705)</f>
        <v>72000</v>
      </c>
      <c r="K702" s="34">
        <f>SUM(J702/I702)*100</f>
        <v>113.9240506329114</v>
      </c>
    </row>
    <row r="703" spans="1:11" ht="12.75" customHeight="1">
      <c r="A703" s="17"/>
      <c r="B703" s="149"/>
      <c r="C703" s="61"/>
      <c r="D703" s="100"/>
      <c r="E703" s="62"/>
      <c r="F703" s="62"/>
      <c r="G703" s="62"/>
      <c r="H703" s="62"/>
      <c r="I703" s="62"/>
      <c r="J703" s="62"/>
      <c r="K703" s="229"/>
    </row>
    <row r="704" spans="1:11" ht="45.75">
      <c r="A704" s="17"/>
      <c r="B704" s="86" t="s">
        <v>135</v>
      </c>
      <c r="C704" s="40">
        <v>120000</v>
      </c>
      <c r="D704" s="41" t="e">
        <f>(C704/#REF!)*100</f>
        <v>#REF!</v>
      </c>
      <c r="E704" s="42">
        <f>120000-20000</f>
        <v>100000</v>
      </c>
      <c r="F704" s="42">
        <v>70000</v>
      </c>
      <c r="G704" s="42">
        <v>58500</v>
      </c>
      <c r="H704" s="42">
        <f>SUM(G704/F704)*100</f>
        <v>83.57142857142857</v>
      </c>
      <c r="I704" s="42">
        <v>58500</v>
      </c>
      <c r="J704" s="42">
        <f>120000-30000-20000</f>
        <v>70000</v>
      </c>
      <c r="K704" s="42">
        <f>SUM(J704/I704)*100</f>
        <v>119.65811965811966</v>
      </c>
    </row>
    <row r="705" spans="1:11" ht="30.75">
      <c r="A705" s="17"/>
      <c r="B705" s="183" t="s">
        <v>16</v>
      </c>
      <c r="C705" s="99">
        <v>25000</v>
      </c>
      <c r="D705" s="56" t="e">
        <f>(C705/#REF!)*100</f>
        <v>#REF!</v>
      </c>
      <c r="E705" s="101">
        <v>15000</v>
      </c>
      <c r="F705" s="101">
        <v>15000</v>
      </c>
      <c r="G705" s="101">
        <v>1989.5</v>
      </c>
      <c r="H705" s="67">
        <f>SUM(G705/F705)*100</f>
        <v>13.263333333333332</v>
      </c>
      <c r="I705" s="101">
        <v>4700</v>
      </c>
      <c r="J705" s="101">
        <f>10000-5000-3000</f>
        <v>2000</v>
      </c>
      <c r="K705" s="67">
        <f>SUM(J705/I705)*100</f>
        <v>42.5531914893617</v>
      </c>
    </row>
    <row r="706" spans="1:11" ht="28.5" customHeight="1">
      <c r="A706" s="59"/>
      <c r="B706" s="64" t="s">
        <v>225</v>
      </c>
      <c r="C706" s="40"/>
      <c r="D706" s="41"/>
      <c r="E706" s="42">
        <v>5000</v>
      </c>
      <c r="F706" s="42">
        <v>5000</v>
      </c>
      <c r="G706" s="42">
        <v>990</v>
      </c>
      <c r="H706" s="42">
        <f>SUM(G706/F706)*100</f>
        <v>19.8</v>
      </c>
      <c r="I706" s="42">
        <v>5000</v>
      </c>
      <c r="J706" s="42">
        <f>10000-8000</f>
        <v>2000</v>
      </c>
      <c r="K706" s="42">
        <f>SUM(J706/I706)*100</f>
        <v>40</v>
      </c>
    </row>
    <row r="707" spans="1:11" ht="15.75">
      <c r="A707" s="43"/>
      <c r="B707" s="143"/>
      <c r="C707" s="113"/>
      <c r="D707" s="114"/>
      <c r="E707" s="115"/>
      <c r="F707" s="115"/>
      <c r="G707" s="115"/>
      <c r="H707" s="115"/>
      <c r="I707" s="115"/>
      <c r="J707" s="115"/>
      <c r="K707" s="230"/>
    </row>
    <row r="708" spans="1:11" ht="12.75" customHeight="1">
      <c r="A708" s="47"/>
      <c r="B708" s="185"/>
      <c r="C708" s="48"/>
      <c r="D708" s="56"/>
      <c r="E708" s="50"/>
      <c r="F708" s="50"/>
      <c r="G708" s="50"/>
      <c r="H708" s="50"/>
      <c r="I708" s="50"/>
      <c r="J708" s="50"/>
      <c r="K708" s="229"/>
    </row>
    <row r="709" spans="1:11" ht="16.5" thickBot="1">
      <c r="A709" s="51">
        <v>926</v>
      </c>
      <c r="B709" s="190" t="s">
        <v>88</v>
      </c>
      <c r="C709" s="53">
        <f>SUM(C711,C724,C738)</f>
        <v>19384246</v>
      </c>
      <c r="D709" s="174" t="e">
        <f>(C709/#REF!)*100</f>
        <v>#REF!</v>
      </c>
      <c r="E709" s="54">
        <f>SUM(E711,E724,E738)</f>
        <v>35533089</v>
      </c>
      <c r="F709" s="54">
        <f>SUM(F711,F724,F738)</f>
        <v>35440653</v>
      </c>
      <c r="G709" s="54">
        <f>SUM(G711,G724,G738)</f>
        <v>20372428.05</v>
      </c>
      <c r="H709" s="24">
        <f>SUM(G709/F709)*100</f>
        <v>57.48321863595459</v>
      </c>
      <c r="I709" s="54">
        <f>SUM(I711,I724,I738)</f>
        <v>35299567.42</v>
      </c>
      <c r="J709" s="54">
        <f>SUM(J711,J724,J738)</f>
        <v>3435915</v>
      </c>
      <c r="K709" s="24">
        <f>SUM(J709/I709)*100</f>
        <v>9.733589534168857</v>
      </c>
    </row>
    <row r="710" spans="1:11" ht="12.75" customHeight="1" thickTop="1">
      <c r="A710" s="17"/>
      <c r="B710" s="43"/>
      <c r="C710" s="55"/>
      <c r="D710" s="165"/>
      <c r="E710" s="57"/>
      <c r="F710" s="57"/>
      <c r="G710" s="57"/>
      <c r="H710" s="57"/>
      <c r="I710" s="57"/>
      <c r="J710" s="57"/>
      <c r="K710" s="193"/>
    </row>
    <row r="711" spans="1:18" ht="15.75">
      <c r="A711" s="58">
        <v>92601</v>
      </c>
      <c r="B711" s="80" t="s">
        <v>89</v>
      </c>
      <c r="C711" s="69">
        <f>SUM(C713,C721:C722)</f>
        <v>16452726</v>
      </c>
      <c r="D711" s="33" t="e">
        <f>(C711/#REF!)*100</f>
        <v>#REF!</v>
      </c>
      <c r="E711" s="168">
        <f>SUM(E713,E719)</f>
        <v>32221000</v>
      </c>
      <c r="F711" s="168">
        <f>SUM(F713,F719)</f>
        <v>32128564</v>
      </c>
      <c r="G711" s="168">
        <f>SUM(G713,G719)</f>
        <v>18031691.66</v>
      </c>
      <c r="H711" s="34">
        <f>SUM(G711/F711)*100</f>
        <v>56.12355304768679</v>
      </c>
      <c r="I711" s="168">
        <f>SUM(I713,I719)</f>
        <v>32072363.42</v>
      </c>
      <c r="J711" s="168">
        <f>SUM(J713,J719)</f>
        <v>550000</v>
      </c>
      <c r="K711" s="34">
        <f>SUM(J711/I711)*100</f>
        <v>1.714872062272235</v>
      </c>
      <c r="L711" s="137"/>
      <c r="M711" s="137"/>
      <c r="N711" s="137"/>
      <c r="O711" s="137"/>
      <c r="P711" s="137"/>
      <c r="Q711" s="137"/>
      <c r="R711" s="137"/>
    </row>
    <row r="712" spans="1:11" ht="15.75">
      <c r="A712" s="47"/>
      <c r="B712" s="191"/>
      <c r="C712" s="61"/>
      <c r="D712" s="94"/>
      <c r="E712" s="62"/>
      <c r="F712" s="62"/>
      <c r="G712" s="62"/>
      <c r="H712" s="62"/>
      <c r="I712" s="62"/>
      <c r="J712" s="62"/>
      <c r="K712" s="229"/>
    </row>
    <row r="713" spans="1:11" ht="15.75">
      <c r="A713" s="17"/>
      <c r="B713" s="170" t="s">
        <v>124</v>
      </c>
      <c r="C713" s="55">
        <f>SUM(C716:C720)</f>
        <v>552726</v>
      </c>
      <c r="D713" s="165" t="e">
        <f>(C713/#REF!)*100</f>
        <v>#REF!</v>
      </c>
      <c r="E713" s="37">
        <f>SUM(E716:E717)</f>
        <v>590000</v>
      </c>
      <c r="F713" s="37">
        <f>SUM(F716:F717)</f>
        <v>590000</v>
      </c>
      <c r="G713" s="37">
        <f>SUM(G716:G717)</f>
        <v>378234.02</v>
      </c>
      <c r="H713" s="37">
        <f>SUM(G713/F713)*100</f>
        <v>64.10746101694915</v>
      </c>
      <c r="I713" s="37">
        <f>SUM(I716:I717)</f>
        <v>533800</v>
      </c>
      <c r="J713" s="37">
        <f>SUM(J716:J717)</f>
        <v>550000</v>
      </c>
      <c r="K713" s="37">
        <f>SUM(J713/I713)*100</f>
        <v>103.03484451105282</v>
      </c>
    </row>
    <row r="714" spans="1:11" ht="15.75">
      <c r="A714" s="17"/>
      <c r="B714" s="170" t="s">
        <v>139</v>
      </c>
      <c r="C714" s="35"/>
      <c r="D714" s="94"/>
      <c r="E714" s="37"/>
      <c r="F714" s="37"/>
      <c r="G714" s="37"/>
      <c r="H714" s="37"/>
      <c r="I714" s="37"/>
      <c r="J714" s="37"/>
      <c r="K714" s="193"/>
    </row>
    <row r="715" spans="1:11" ht="15.75">
      <c r="A715" s="17"/>
      <c r="B715" s="143" t="s">
        <v>4</v>
      </c>
      <c r="C715" s="35"/>
      <c r="D715" s="94"/>
      <c r="E715" s="37"/>
      <c r="F715" s="37"/>
      <c r="G715" s="37"/>
      <c r="H715" s="37"/>
      <c r="I715" s="37"/>
      <c r="J715" s="37"/>
      <c r="K715" s="193"/>
    </row>
    <row r="716" spans="1:11" ht="15.75">
      <c r="A716" s="93"/>
      <c r="B716" s="143" t="s">
        <v>106</v>
      </c>
      <c r="C716" s="66">
        <v>228261</v>
      </c>
      <c r="D716" s="56" t="e">
        <f>(C716/#REF!)*100</f>
        <v>#REF!</v>
      </c>
      <c r="E716" s="67">
        <v>240000</v>
      </c>
      <c r="F716" s="67">
        <v>240000</v>
      </c>
      <c r="G716" s="67">
        <v>180363.18</v>
      </c>
      <c r="H716" s="67">
        <f>SUM(G716/F716)*100</f>
        <v>75.151325</v>
      </c>
      <c r="I716" s="67">
        <v>240000</v>
      </c>
      <c r="J716" s="67">
        <f>379363-100000</f>
        <v>279363</v>
      </c>
      <c r="K716" s="67">
        <f>SUM(J716/I716)*100</f>
        <v>116.40124999999999</v>
      </c>
    </row>
    <row r="717" spans="1:11" ht="15.75">
      <c r="A717" s="17"/>
      <c r="B717" s="86" t="s">
        <v>21</v>
      </c>
      <c r="C717" s="40">
        <v>324465</v>
      </c>
      <c r="D717" s="41" t="e">
        <f>(C717/#REF!)*100</f>
        <v>#REF!</v>
      </c>
      <c r="E717" s="42">
        <v>350000</v>
      </c>
      <c r="F717" s="42">
        <v>350000</v>
      </c>
      <c r="G717" s="42">
        <v>197870.84</v>
      </c>
      <c r="H717" s="42">
        <f>SUM(G717/F717)*100</f>
        <v>56.534525714285714</v>
      </c>
      <c r="I717" s="42">
        <v>293800</v>
      </c>
      <c r="J717" s="42">
        <f>734184-334000-129547</f>
        <v>270637</v>
      </c>
      <c r="K717" s="42">
        <f>SUM(J717/I717)*100</f>
        <v>92.11606535057862</v>
      </c>
    </row>
    <row r="718" spans="1:11" ht="15.75">
      <c r="A718" s="17"/>
      <c r="B718" s="87"/>
      <c r="C718" s="66"/>
      <c r="D718" s="56"/>
      <c r="E718" s="67"/>
      <c r="F718" s="67"/>
      <c r="G718" s="67"/>
      <c r="H718" s="67"/>
      <c r="I718" s="67"/>
      <c r="J718" s="67"/>
      <c r="K718" s="120"/>
    </row>
    <row r="719" spans="1:11" ht="15.75">
      <c r="A719" s="17"/>
      <c r="B719" s="159" t="s">
        <v>179</v>
      </c>
      <c r="C719" s="66"/>
      <c r="D719" s="56"/>
      <c r="E719" s="89">
        <f>SUM(E721:E722)</f>
        <v>31631000</v>
      </c>
      <c r="F719" s="89">
        <f>SUM(F721:F722)</f>
        <v>31538564</v>
      </c>
      <c r="G719" s="89">
        <f>SUM(G721:G722)</f>
        <v>17653457.64</v>
      </c>
      <c r="H719" s="37">
        <f>SUM(G719/F719)*100</f>
        <v>55.97419603505093</v>
      </c>
      <c r="I719" s="89">
        <f>SUM(I721:I722)</f>
        <v>31538563.42</v>
      </c>
      <c r="J719" s="89">
        <f>SUM(J721:J722)</f>
        <v>0</v>
      </c>
      <c r="K719" s="37">
        <f>SUM(J719/I719)*100</f>
        <v>0</v>
      </c>
    </row>
    <row r="720" spans="1:11" ht="15.75">
      <c r="A720" s="17"/>
      <c r="B720" s="159" t="s">
        <v>4</v>
      </c>
      <c r="C720" s="66"/>
      <c r="D720" s="56"/>
      <c r="E720" s="67"/>
      <c r="F720" s="67"/>
      <c r="G720" s="67"/>
      <c r="H720" s="67"/>
      <c r="I720" s="67"/>
      <c r="J720" s="67"/>
      <c r="K720" s="120"/>
    </row>
    <row r="721" spans="1:11" ht="30.75">
      <c r="A721" s="17"/>
      <c r="B721" s="86" t="s">
        <v>246</v>
      </c>
      <c r="C721" s="40">
        <v>15900000</v>
      </c>
      <c r="D721" s="41" t="e">
        <f>(C721/#REF!)*100</f>
        <v>#REF!</v>
      </c>
      <c r="E721" s="42">
        <v>31500000</v>
      </c>
      <c r="F721" s="42">
        <v>31499999</v>
      </c>
      <c r="G721" s="42">
        <v>17614893.22</v>
      </c>
      <c r="H721" s="42">
        <f>SUM(G721/F721)*100</f>
        <v>55.92029771175548</v>
      </c>
      <c r="I721" s="42">
        <v>31499999</v>
      </c>
      <c r="J721" s="42">
        <v>0</v>
      </c>
      <c r="K721" s="42">
        <f>SUM(J721/I721)*100</f>
        <v>0</v>
      </c>
    </row>
    <row r="722" spans="1:11" ht="60.75">
      <c r="A722" s="17"/>
      <c r="B722" s="161" t="s">
        <v>173</v>
      </c>
      <c r="C722" s="106">
        <v>0</v>
      </c>
      <c r="D722" s="95"/>
      <c r="E722" s="107">
        <v>131000</v>
      </c>
      <c r="F722" s="107">
        <v>38565</v>
      </c>
      <c r="G722" s="107">
        <v>38564.42</v>
      </c>
      <c r="H722" s="42">
        <f>SUM(G722/F722)*100</f>
        <v>99.99849604563722</v>
      </c>
      <c r="I722" s="107">
        <v>38564.42</v>
      </c>
      <c r="J722" s="107">
        <v>0</v>
      </c>
      <c r="K722" s="42">
        <f>SUM(J722/I722)*100</f>
        <v>0</v>
      </c>
    </row>
    <row r="723" spans="1:11" ht="12.75" customHeight="1">
      <c r="A723" s="17"/>
      <c r="B723" s="191"/>
      <c r="C723" s="61"/>
      <c r="D723" s="56"/>
      <c r="E723" s="62"/>
      <c r="F723" s="62"/>
      <c r="G723" s="62"/>
      <c r="H723" s="62"/>
      <c r="I723" s="62"/>
      <c r="J723" s="62"/>
      <c r="K723" s="229"/>
    </row>
    <row r="724" spans="1:11" ht="31.5">
      <c r="A724" s="58">
        <v>92605</v>
      </c>
      <c r="B724" s="144" t="s">
        <v>90</v>
      </c>
      <c r="C724" s="32">
        <f>SUM(C726:C732,C733)</f>
        <v>714400</v>
      </c>
      <c r="D724" s="60" t="e">
        <f>(C724/#REF!)*100</f>
        <v>#REF!</v>
      </c>
      <c r="E724" s="34">
        <f>SUM(E726:E732,E733)</f>
        <v>963000</v>
      </c>
      <c r="F724" s="34">
        <f>SUM(F726:F732,F733)</f>
        <v>963000</v>
      </c>
      <c r="G724" s="34">
        <f>SUM(G726:G732,G733)</f>
        <v>790695.0099999999</v>
      </c>
      <c r="H724" s="34">
        <f>SUM(G724/F724)*100</f>
        <v>82.1074776739356</v>
      </c>
      <c r="I724" s="34">
        <f>SUM(I726:I732,I733)</f>
        <v>878320</v>
      </c>
      <c r="J724" s="34">
        <f>SUM(J726:J732,J733)</f>
        <v>848400</v>
      </c>
      <c r="K724" s="34">
        <f>SUM(J724/I724)*100</f>
        <v>96.59349667547136</v>
      </c>
    </row>
    <row r="725" spans="1:11" ht="12.75" customHeight="1">
      <c r="A725" s="17"/>
      <c r="B725" s="121"/>
      <c r="C725" s="55"/>
      <c r="D725" s="56"/>
      <c r="E725" s="57"/>
      <c r="F725" s="57"/>
      <c r="G725" s="57"/>
      <c r="H725" s="57"/>
      <c r="I725" s="57"/>
      <c r="J725" s="57"/>
      <c r="K725" s="193"/>
    </row>
    <row r="726" spans="1:11" ht="60.75">
      <c r="A726" s="17"/>
      <c r="B726" s="188" t="s">
        <v>140</v>
      </c>
      <c r="C726" s="40">
        <v>350000</v>
      </c>
      <c r="D726" s="41" t="e">
        <f>(C726/#REF!)*100</f>
        <v>#REF!</v>
      </c>
      <c r="E726" s="42">
        <f>500000+100000</f>
        <v>600000</v>
      </c>
      <c r="F726" s="42">
        <f>500000+100000</f>
        <v>600000</v>
      </c>
      <c r="G726" s="42">
        <v>581500</v>
      </c>
      <c r="H726" s="42">
        <f aca="true" t="shared" si="10" ref="H726:H732">SUM(G726/F726)*100</f>
        <v>96.91666666666666</v>
      </c>
      <c r="I726" s="42">
        <v>581500</v>
      </c>
      <c r="J726" s="42">
        <f>800000-200000-30000</f>
        <v>570000</v>
      </c>
      <c r="K726" s="42">
        <f>SUM(J726/I726)*100</f>
        <v>98.02235597592434</v>
      </c>
    </row>
    <row r="727" spans="1:11" ht="28.5" customHeight="1">
      <c r="A727" s="17"/>
      <c r="B727" s="182" t="s">
        <v>283</v>
      </c>
      <c r="C727" s="106">
        <v>20000</v>
      </c>
      <c r="D727" s="41" t="e">
        <f>(C727/#REF!)*100</f>
        <v>#REF!</v>
      </c>
      <c r="E727" s="107">
        <v>15000</v>
      </c>
      <c r="F727" s="107">
        <v>15000</v>
      </c>
      <c r="G727" s="107">
        <v>8352.33</v>
      </c>
      <c r="H727" s="42">
        <f t="shared" si="10"/>
        <v>55.6822</v>
      </c>
      <c r="I727" s="107">
        <v>9500</v>
      </c>
      <c r="J727" s="107">
        <v>0</v>
      </c>
      <c r="K727" s="42">
        <f>SUM(J727/I727)*100</f>
        <v>0</v>
      </c>
    </row>
    <row r="728" spans="1:11" ht="30.75">
      <c r="A728" s="17"/>
      <c r="B728" s="182" t="s">
        <v>116</v>
      </c>
      <c r="C728" s="106">
        <v>20000</v>
      </c>
      <c r="D728" s="41" t="e">
        <f>(C728/#REF!)*100</f>
        <v>#REF!</v>
      </c>
      <c r="E728" s="107">
        <v>25000</v>
      </c>
      <c r="F728" s="107">
        <v>25000</v>
      </c>
      <c r="G728" s="107">
        <v>20300</v>
      </c>
      <c r="H728" s="42">
        <f t="shared" si="10"/>
        <v>81.2</v>
      </c>
      <c r="I728" s="107">
        <v>20300</v>
      </c>
      <c r="J728" s="107">
        <f>40000-15000</f>
        <v>25000</v>
      </c>
      <c r="K728" s="42">
        <f>SUM(J728/I728)*100</f>
        <v>123.15270935960592</v>
      </c>
    </row>
    <row r="729" spans="1:11" ht="15.75">
      <c r="A729" s="17"/>
      <c r="B729" s="182" t="s">
        <v>109</v>
      </c>
      <c r="C729" s="106">
        <v>100000</v>
      </c>
      <c r="D729" s="41" t="e">
        <f>(C729/#REF!)*100</f>
        <v>#REF!</v>
      </c>
      <c r="E729" s="107">
        <v>100000</v>
      </c>
      <c r="F729" s="107">
        <v>99380</v>
      </c>
      <c r="G729" s="107">
        <v>51823.72</v>
      </c>
      <c r="H729" s="42">
        <f t="shared" si="10"/>
        <v>52.147031595894546</v>
      </c>
      <c r="I729" s="107">
        <v>66000</v>
      </c>
      <c r="J729" s="107">
        <f>100000-30000</f>
        <v>70000</v>
      </c>
      <c r="K729" s="42">
        <f>SUM(J729/I729)*100</f>
        <v>106.06060606060606</v>
      </c>
    </row>
    <row r="730" spans="1:11" ht="30.75">
      <c r="A730" s="17"/>
      <c r="B730" s="182" t="s">
        <v>393</v>
      </c>
      <c r="C730" s="106"/>
      <c r="D730" s="41"/>
      <c r="E730" s="107"/>
      <c r="F730" s="107">
        <v>620</v>
      </c>
      <c r="G730" s="107">
        <v>385.08</v>
      </c>
      <c r="H730" s="42">
        <f t="shared" si="10"/>
        <v>62.10967741935484</v>
      </c>
      <c r="I730" s="107">
        <v>620</v>
      </c>
      <c r="J730" s="107">
        <v>0</v>
      </c>
      <c r="K730" s="42">
        <f>SUM(J730/I730)*100</f>
        <v>0</v>
      </c>
    </row>
    <row r="731" spans="1:11" ht="45.75">
      <c r="A731" s="17"/>
      <c r="B731" s="182" t="s">
        <v>174</v>
      </c>
      <c r="C731" s="106">
        <v>0</v>
      </c>
      <c r="D731" s="41"/>
      <c r="E731" s="107">
        <v>6000</v>
      </c>
      <c r="F731" s="107">
        <v>6000</v>
      </c>
      <c r="G731" s="107">
        <v>4500</v>
      </c>
      <c r="H731" s="42">
        <f t="shared" si="10"/>
        <v>75</v>
      </c>
      <c r="I731" s="107">
        <v>6000</v>
      </c>
      <c r="J731" s="107">
        <v>6000</v>
      </c>
      <c r="K731" s="42">
        <f>SUM(J731/I731)*100</f>
        <v>100</v>
      </c>
    </row>
    <row r="732" spans="1:11" ht="18" customHeight="1">
      <c r="A732" s="17"/>
      <c r="B732" s="161" t="s">
        <v>150</v>
      </c>
      <c r="C732" s="106">
        <v>2000</v>
      </c>
      <c r="D732" s="95">
        <v>0</v>
      </c>
      <c r="E732" s="107">
        <v>2000</v>
      </c>
      <c r="F732" s="107">
        <v>2000</v>
      </c>
      <c r="G732" s="107">
        <v>0</v>
      </c>
      <c r="H732" s="42">
        <f t="shared" si="10"/>
        <v>0</v>
      </c>
      <c r="I732" s="107">
        <v>0</v>
      </c>
      <c r="J732" s="107">
        <v>0</v>
      </c>
      <c r="K732" s="42">
        <v>0</v>
      </c>
    </row>
    <row r="733" spans="1:11" ht="47.25">
      <c r="A733" s="17"/>
      <c r="B733" s="170" t="s">
        <v>110</v>
      </c>
      <c r="C733" s="66">
        <f>SUM(C735:C736)</f>
        <v>222400</v>
      </c>
      <c r="D733" s="56" t="e">
        <f>(C733/#REF!)*100</f>
        <v>#REF!</v>
      </c>
      <c r="E733" s="89">
        <f>SUM(E735:E736)</f>
        <v>215000</v>
      </c>
      <c r="F733" s="89">
        <f>SUM(F735:F736)</f>
        <v>215000</v>
      </c>
      <c r="G733" s="89">
        <f>SUM(G735:G736)</f>
        <v>123833.88</v>
      </c>
      <c r="H733" s="37">
        <f>SUM(G733/F733)*100</f>
        <v>57.5971534883721</v>
      </c>
      <c r="I733" s="89">
        <f>SUM(I735:I736)</f>
        <v>194400</v>
      </c>
      <c r="J733" s="89">
        <f>SUM(J735:J736)</f>
        <v>177400</v>
      </c>
      <c r="K733" s="37">
        <f>SUM(J733/I733)*100</f>
        <v>91.2551440329218</v>
      </c>
    </row>
    <row r="734" spans="1:11" ht="15.75">
      <c r="A734" s="17"/>
      <c r="B734" s="143" t="s">
        <v>4</v>
      </c>
      <c r="C734" s="66"/>
      <c r="D734" s="56"/>
      <c r="E734" s="67"/>
      <c r="F734" s="67"/>
      <c r="G734" s="67"/>
      <c r="H734" s="67"/>
      <c r="I734" s="67"/>
      <c r="J734" s="67"/>
      <c r="K734" s="120"/>
    </row>
    <row r="735" spans="1:11" ht="15.75">
      <c r="A735" s="17"/>
      <c r="B735" s="143" t="s">
        <v>106</v>
      </c>
      <c r="C735" s="66">
        <v>185000</v>
      </c>
      <c r="D735" s="56" t="e">
        <f>(C735/#REF!)*100</f>
        <v>#REF!</v>
      </c>
      <c r="E735" s="67">
        <f>157600+20000</f>
        <v>177600</v>
      </c>
      <c r="F735" s="67">
        <f>157600+20000</f>
        <v>177600</v>
      </c>
      <c r="G735" s="67">
        <v>101084.2</v>
      </c>
      <c r="H735" s="67">
        <f>SUM(G735/F735)*100</f>
        <v>56.916779279279275</v>
      </c>
      <c r="I735" s="67">
        <v>157000</v>
      </c>
      <c r="J735" s="67">
        <f>177600-15000-22600</f>
        <v>140000</v>
      </c>
      <c r="K735" s="67">
        <f>SUM(J735/I735)*100</f>
        <v>89.171974522293</v>
      </c>
    </row>
    <row r="736" spans="1:11" ht="15.75">
      <c r="A736" s="59"/>
      <c r="B736" s="64" t="s">
        <v>21</v>
      </c>
      <c r="C736" s="40">
        <v>37400</v>
      </c>
      <c r="D736" s="41" t="e">
        <f>(C736/#REF!)*100</f>
        <v>#REF!</v>
      </c>
      <c r="E736" s="42">
        <v>37400</v>
      </c>
      <c r="F736" s="42">
        <v>37400</v>
      </c>
      <c r="G736" s="42">
        <v>22749.68</v>
      </c>
      <c r="H736" s="42">
        <f>SUM(G736/F736)*100</f>
        <v>60.82802139037433</v>
      </c>
      <c r="I736" s="42">
        <v>37400</v>
      </c>
      <c r="J736" s="42">
        <v>37400</v>
      </c>
      <c r="K736" s="42">
        <f>SUM(J736/I736)*100</f>
        <v>100</v>
      </c>
    </row>
    <row r="737" spans="1:11" ht="12.75" customHeight="1">
      <c r="A737" s="17"/>
      <c r="B737" s="185"/>
      <c r="C737" s="48"/>
      <c r="D737" s="56"/>
      <c r="E737" s="50"/>
      <c r="F737" s="50"/>
      <c r="G737" s="50"/>
      <c r="H737" s="50"/>
      <c r="I737" s="50"/>
      <c r="J737" s="50"/>
      <c r="K737" s="229"/>
    </row>
    <row r="738" spans="1:34" ht="15.75">
      <c r="A738" s="58">
        <v>92695</v>
      </c>
      <c r="B738" s="80" t="s">
        <v>35</v>
      </c>
      <c r="C738" s="32">
        <f>SUM(C740)</f>
        <v>2217120</v>
      </c>
      <c r="D738" s="60" t="e">
        <f>(C738/#REF!)*100</f>
        <v>#REF!</v>
      </c>
      <c r="E738" s="34">
        <f>SUM(E740)</f>
        <v>2349089</v>
      </c>
      <c r="F738" s="34">
        <f>SUM(F740)</f>
        <v>2349089</v>
      </c>
      <c r="G738" s="34">
        <f>SUM(G740)</f>
        <v>1550041.3800000001</v>
      </c>
      <c r="H738" s="34">
        <f>SUM(G738/F738)*100</f>
        <v>65.98478729413829</v>
      </c>
      <c r="I738" s="34">
        <f>SUM(I740)</f>
        <v>2348884</v>
      </c>
      <c r="J738" s="34">
        <f>SUM(J740)</f>
        <v>2037515</v>
      </c>
      <c r="K738" s="34">
        <f>SUM(J738/I738)*100</f>
        <v>86.7439601104184</v>
      </c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</row>
    <row r="739" spans="1:34" ht="15.75">
      <c r="A739" s="17"/>
      <c r="B739" s="43"/>
      <c r="C739" s="35"/>
      <c r="D739" s="56"/>
      <c r="E739" s="37"/>
      <c r="F739" s="37"/>
      <c r="G739" s="37"/>
      <c r="H739" s="37"/>
      <c r="I739" s="37"/>
      <c r="J739" s="37"/>
      <c r="K739" s="193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</row>
    <row r="740" spans="1:11" ht="15.75">
      <c r="A740" s="17"/>
      <c r="B740" s="170" t="s">
        <v>125</v>
      </c>
      <c r="C740" s="181">
        <f>SUM(C743:C750)</f>
        <v>2217120</v>
      </c>
      <c r="D740" s="156" t="e">
        <f>(C740/#REF!)*100</f>
        <v>#REF!</v>
      </c>
      <c r="E740" s="89">
        <f>SUM(E743:E750,E752)</f>
        <v>2349089</v>
      </c>
      <c r="F740" s="89">
        <f>SUM(F743:F750,F752)</f>
        <v>2349089</v>
      </c>
      <c r="G740" s="89">
        <f>SUM(G743:G750,G752)</f>
        <v>1550041.3800000001</v>
      </c>
      <c r="H740" s="37">
        <f>SUM(G740/F740)*100</f>
        <v>65.98478729413829</v>
      </c>
      <c r="I740" s="89">
        <f>SUM(I743:I750,I752)</f>
        <v>2348884</v>
      </c>
      <c r="J740" s="89">
        <f>SUM(J743:J750,J752)</f>
        <v>2037515</v>
      </c>
      <c r="K740" s="37">
        <f>SUM(J740/I740)*100</f>
        <v>86.7439601104184</v>
      </c>
    </row>
    <row r="741" spans="1:11" ht="15.75">
      <c r="A741" s="17"/>
      <c r="B741" s="170" t="s">
        <v>126</v>
      </c>
      <c r="C741" s="192"/>
      <c r="D741" s="156"/>
      <c r="E741" s="193"/>
      <c r="F741" s="193"/>
      <c r="G741" s="193"/>
      <c r="H741" s="193"/>
      <c r="I741" s="193"/>
      <c r="J741" s="193"/>
      <c r="K741" s="193"/>
    </row>
    <row r="742" spans="1:11" ht="15.75">
      <c r="A742" s="17"/>
      <c r="B742" s="143" t="s">
        <v>4</v>
      </c>
      <c r="C742" s="78"/>
      <c r="D742" s="56"/>
      <c r="E742" s="120"/>
      <c r="F742" s="120"/>
      <c r="G742" s="120"/>
      <c r="H742" s="120"/>
      <c r="I742" s="120"/>
      <c r="J742" s="120"/>
      <c r="K742" s="120"/>
    </row>
    <row r="743" spans="1:11" ht="15.75">
      <c r="A743" s="93"/>
      <c r="B743" s="143" t="s">
        <v>106</v>
      </c>
      <c r="C743" s="66">
        <v>706493</v>
      </c>
      <c r="D743" s="56" t="e">
        <f>(C743/#REF!)*100</f>
        <v>#REF!</v>
      </c>
      <c r="E743" s="67">
        <v>706089</v>
      </c>
      <c r="F743" s="67">
        <v>706089</v>
      </c>
      <c r="G743" s="67">
        <v>500969.58</v>
      </c>
      <c r="H743" s="67">
        <f aca="true" t="shared" si="11" ref="H743:H750">SUM(G743/F743)*100</f>
        <v>70.94991991094606</v>
      </c>
      <c r="I743" s="67">
        <v>706089</v>
      </c>
      <c r="J743" s="67">
        <v>737515</v>
      </c>
      <c r="K743" s="67">
        <f>SUM(J743/I743)*100</f>
        <v>104.45071372022508</v>
      </c>
    </row>
    <row r="744" spans="1:11" ht="15.75">
      <c r="A744" s="17"/>
      <c r="B744" s="86" t="s">
        <v>21</v>
      </c>
      <c r="C744" s="40">
        <v>1510627</v>
      </c>
      <c r="D744" s="41" t="e">
        <f>(C744/#REF!)*100</f>
        <v>#REF!</v>
      </c>
      <c r="E744" s="42">
        <v>1550000</v>
      </c>
      <c r="F744" s="42">
        <v>1543700</v>
      </c>
      <c r="G744" s="42">
        <v>1042976.8</v>
      </c>
      <c r="H744" s="42">
        <f t="shared" si="11"/>
        <v>67.56343849193497</v>
      </c>
      <c r="I744" s="42">
        <v>1543700</v>
      </c>
      <c r="J744" s="42">
        <f>1894935-300000-294935</f>
        <v>1300000</v>
      </c>
      <c r="K744" s="42">
        <f>SUM(J744/I744)*100</f>
        <v>84.2132538705707</v>
      </c>
    </row>
    <row r="745" spans="1:11" ht="15.75">
      <c r="A745" s="17"/>
      <c r="B745" s="194" t="s">
        <v>147</v>
      </c>
      <c r="C745" s="61"/>
      <c r="D745" s="100"/>
      <c r="E745" s="62"/>
      <c r="F745" s="62"/>
      <c r="G745" s="62"/>
      <c r="H745" s="227"/>
      <c r="I745" s="62"/>
      <c r="J745" s="62"/>
      <c r="K745" s="238"/>
    </row>
    <row r="746" spans="1:11" ht="15.75">
      <c r="A746" s="17"/>
      <c r="B746" s="161" t="s">
        <v>209</v>
      </c>
      <c r="C746" s="106"/>
      <c r="D746" s="41"/>
      <c r="E746" s="107">
        <v>20000</v>
      </c>
      <c r="F746" s="107">
        <v>20000</v>
      </c>
      <c r="G746" s="107">
        <v>0</v>
      </c>
      <c r="H746" s="42">
        <f t="shared" si="11"/>
        <v>0</v>
      </c>
      <c r="I746" s="107">
        <v>20000</v>
      </c>
      <c r="J746" s="107">
        <v>0</v>
      </c>
      <c r="K746" s="42">
        <f>SUM(J746/I746)*100</f>
        <v>0</v>
      </c>
    </row>
    <row r="747" spans="1:11" ht="15.75">
      <c r="A747" s="17"/>
      <c r="B747" s="161" t="s">
        <v>210</v>
      </c>
      <c r="C747" s="106"/>
      <c r="D747" s="41"/>
      <c r="E747" s="107">
        <v>20000</v>
      </c>
      <c r="F747" s="107">
        <v>20000</v>
      </c>
      <c r="G747" s="107">
        <v>0</v>
      </c>
      <c r="H747" s="42">
        <f t="shared" si="11"/>
        <v>0</v>
      </c>
      <c r="I747" s="107">
        <v>20000</v>
      </c>
      <c r="J747" s="107">
        <v>0</v>
      </c>
      <c r="K747" s="42">
        <f>SUM(J747/I747)*100</f>
        <v>0</v>
      </c>
    </row>
    <row r="748" spans="1:11" ht="15.75">
      <c r="A748" s="17"/>
      <c r="B748" s="161" t="s">
        <v>211</v>
      </c>
      <c r="C748" s="106"/>
      <c r="D748" s="41"/>
      <c r="E748" s="107">
        <v>3000</v>
      </c>
      <c r="F748" s="107">
        <v>3000</v>
      </c>
      <c r="G748" s="107">
        <v>0</v>
      </c>
      <c r="H748" s="42">
        <f t="shared" si="11"/>
        <v>0</v>
      </c>
      <c r="I748" s="107">
        <v>3000</v>
      </c>
      <c r="J748" s="107">
        <v>0</v>
      </c>
      <c r="K748" s="42">
        <f>SUM(J748/I748)*100</f>
        <v>0</v>
      </c>
    </row>
    <row r="749" spans="1:11" ht="30.75">
      <c r="A749" s="17"/>
      <c r="B749" s="161" t="s">
        <v>212</v>
      </c>
      <c r="C749" s="106"/>
      <c r="D749" s="41"/>
      <c r="E749" s="107">
        <v>30000</v>
      </c>
      <c r="F749" s="107">
        <v>30000</v>
      </c>
      <c r="G749" s="107">
        <v>0</v>
      </c>
      <c r="H749" s="42">
        <f t="shared" si="11"/>
        <v>0</v>
      </c>
      <c r="I749" s="107">
        <v>30000</v>
      </c>
      <c r="J749" s="107">
        <v>0</v>
      </c>
      <c r="K749" s="42">
        <f>SUM(J749/I749)*100</f>
        <v>0</v>
      </c>
    </row>
    <row r="750" spans="1:11" ht="30.75">
      <c r="A750" s="17"/>
      <c r="B750" s="161" t="s">
        <v>238</v>
      </c>
      <c r="C750" s="106"/>
      <c r="D750" s="41"/>
      <c r="E750" s="107">
        <v>20000</v>
      </c>
      <c r="F750" s="107">
        <v>20000</v>
      </c>
      <c r="G750" s="107">
        <v>0</v>
      </c>
      <c r="H750" s="42">
        <f t="shared" si="11"/>
        <v>0</v>
      </c>
      <c r="I750" s="107">
        <v>20000</v>
      </c>
      <c r="J750" s="107">
        <v>0</v>
      </c>
      <c r="K750" s="42">
        <f>SUM(J750/I750)*100</f>
        <v>0</v>
      </c>
    </row>
    <row r="751" spans="1:11" ht="15.75">
      <c r="A751" s="17"/>
      <c r="B751" s="87"/>
      <c r="C751" s="66"/>
      <c r="D751" s="56"/>
      <c r="E751" s="67"/>
      <c r="F751" s="67"/>
      <c r="G751" s="67"/>
      <c r="H751" s="67"/>
      <c r="I751" s="67"/>
      <c r="J751" s="67"/>
      <c r="K751" s="120"/>
    </row>
    <row r="752" spans="1:11" ht="15.75">
      <c r="A752" s="17"/>
      <c r="B752" s="159" t="s">
        <v>179</v>
      </c>
      <c r="C752" s="66"/>
      <c r="D752" s="56"/>
      <c r="E752" s="89">
        <f>SUM(E754)</f>
        <v>0</v>
      </c>
      <c r="F752" s="89">
        <f>SUM(F754)</f>
        <v>6300</v>
      </c>
      <c r="G752" s="89">
        <f>SUM(G754)</f>
        <v>6095</v>
      </c>
      <c r="H752" s="37">
        <f>SUM(G752/F752)*100</f>
        <v>96.74603174603175</v>
      </c>
      <c r="I752" s="89">
        <f>SUM(I754)</f>
        <v>6095</v>
      </c>
      <c r="J752" s="89">
        <f>SUM(J754)</f>
        <v>0</v>
      </c>
      <c r="K752" s="37">
        <f>SUM(J752/I752)*100</f>
        <v>0</v>
      </c>
    </row>
    <row r="753" spans="1:11" ht="15.75">
      <c r="A753" s="17"/>
      <c r="B753" s="159" t="s">
        <v>4</v>
      </c>
      <c r="C753" s="66"/>
      <c r="D753" s="56"/>
      <c r="E753" s="67"/>
      <c r="F753" s="67"/>
      <c r="G753" s="67"/>
      <c r="H753" s="67"/>
      <c r="I753" s="67"/>
      <c r="J753" s="67"/>
      <c r="K753" s="120"/>
    </row>
    <row r="754" spans="1:11" ht="15.75">
      <c r="A754" s="17"/>
      <c r="B754" s="87" t="s">
        <v>284</v>
      </c>
      <c r="C754" s="55"/>
      <c r="D754" s="56"/>
      <c r="E754" s="67">
        <v>0</v>
      </c>
      <c r="F754" s="67">
        <v>6300</v>
      </c>
      <c r="G754" s="67">
        <v>6095</v>
      </c>
      <c r="H754" s="67">
        <f>SUM(G754/F754)*100</f>
        <v>96.74603174603175</v>
      </c>
      <c r="I754" s="67">
        <v>6095</v>
      </c>
      <c r="J754" s="67">
        <v>0</v>
      </c>
      <c r="K754" s="67">
        <f>SUM(J754/I754)*100</f>
        <v>0</v>
      </c>
    </row>
    <row r="755" spans="1:11" ht="16.5" thickBot="1">
      <c r="A755" s="257"/>
      <c r="B755" s="225"/>
      <c r="C755" s="195"/>
      <c r="D755" s="226"/>
      <c r="E755" s="224"/>
      <c r="F755" s="224"/>
      <c r="G755" s="224"/>
      <c r="H755" s="224"/>
      <c r="I755" s="224"/>
      <c r="J755" s="224"/>
      <c r="K755" s="239"/>
    </row>
    <row r="756" spans="1:11" ht="12.75" customHeight="1">
      <c r="A756" s="2"/>
      <c r="B756" s="2"/>
      <c r="C756" s="196"/>
      <c r="D756" s="197"/>
      <c r="E756" s="198"/>
      <c r="F756" s="198"/>
      <c r="G756" s="198"/>
      <c r="H756" s="198"/>
      <c r="I756" s="198"/>
      <c r="J756" s="198"/>
      <c r="K756" s="240"/>
    </row>
    <row r="757" spans="1:11" ht="15.75">
      <c r="A757" s="199"/>
      <c r="B757" s="199" t="s">
        <v>10</v>
      </c>
      <c r="C757" s="200" t="e">
        <f>SUM(C10,C18,C60,C74,C112,C151,C210,C223,C231,C260,C267,C278,C292,C440,C468,C563,C580,C597,C677,C709)</f>
        <v>#REF!</v>
      </c>
      <c r="D757" s="201" t="e">
        <f>(C757/#REF!)*100</f>
        <v>#REF!</v>
      </c>
      <c r="E757" s="202" t="e">
        <f>SUM(E10,E18,E60,E74,E112,E151,E210,E223,E231,E260,E267,E278,E292,E440,E468,E563,E580,E597,E677,E709)</f>
        <v>#REF!</v>
      </c>
      <c r="F757" s="202">
        <f>SUM(F10,F18,F60,F74,F112,F151,F210,F223,F231,F260,F267,F278,F292,F440,F468,F563,F580,F597,F677,F709)</f>
        <v>126726365.52</v>
      </c>
      <c r="G757" s="202">
        <f>SUM(G10,G18,G60,G74,G112,G151,G210,G223,G231,G260,G267,G278,G292,G440,G468,G563,G580,G597,G677,G709)</f>
        <v>78533237.53</v>
      </c>
      <c r="H757" s="202">
        <f>SUM(G757/F757)*100</f>
        <v>61.970717149310076</v>
      </c>
      <c r="I757" s="202">
        <f>SUM(I10,I18,I60,I74,I112,I151,I210,I223,I231,I260,I267,I278,I292,I440,I468,I563,I580,I597,I677,I709)</f>
        <v>121400924.653</v>
      </c>
      <c r="J757" s="202">
        <f>SUM(J10,J18,J60,J74,J112,J151,J210,J223,J231,J260,J267,J278,J292,J440,J468,J563,J580,J597,J677,J709)</f>
        <v>102382898</v>
      </c>
      <c r="K757" s="256">
        <f>SUM(J757/I757)*100</f>
        <v>84.33452899361419</v>
      </c>
    </row>
    <row r="758" spans="1:11" ht="12.75" customHeight="1" thickBot="1">
      <c r="A758" s="11"/>
      <c r="B758" s="11"/>
      <c r="C758" s="203"/>
      <c r="D758" s="204"/>
      <c r="E758" s="205"/>
      <c r="F758" s="205"/>
      <c r="G758" s="205"/>
      <c r="H758" s="205"/>
      <c r="I758" s="205"/>
      <c r="J758" s="205"/>
      <c r="K758" s="241"/>
    </row>
    <row r="759" ht="12.75" customHeight="1">
      <c r="C759" s="206"/>
    </row>
    <row r="760" spans="2:3" ht="12.75" customHeight="1">
      <c r="B760" s="163"/>
      <c r="C760" s="206"/>
    </row>
    <row r="761" spans="2:3" ht="12.75" customHeight="1">
      <c r="B761" s="163"/>
      <c r="C761" s="206"/>
    </row>
    <row r="762" spans="2:3" ht="12.75" customHeight="1">
      <c r="B762" s="163"/>
      <c r="C762" s="206"/>
    </row>
    <row r="763" spans="2:3" ht="12.75" customHeight="1">
      <c r="B763" s="163"/>
      <c r="C763" s="206"/>
    </row>
    <row r="764" spans="2:3" ht="12.75" customHeight="1">
      <c r="B764" s="163"/>
      <c r="C764" s="206"/>
    </row>
    <row r="765" spans="2:3" ht="12.75" customHeight="1">
      <c r="B765" s="163"/>
      <c r="C765" s="206"/>
    </row>
    <row r="766" spans="2:3" ht="12.75" customHeight="1">
      <c r="B766" s="163"/>
      <c r="C766" s="206"/>
    </row>
    <row r="767" spans="2:3" ht="12.75" customHeight="1">
      <c r="B767" s="163"/>
      <c r="C767" s="206"/>
    </row>
    <row r="768" spans="2:3" ht="12.75" customHeight="1">
      <c r="B768" s="163"/>
      <c r="C768" s="206"/>
    </row>
    <row r="769" spans="2:3" ht="12.75" customHeight="1">
      <c r="B769" s="163"/>
      <c r="C769" s="206"/>
    </row>
    <row r="770" spans="2:3" ht="12.75" customHeight="1">
      <c r="B770" s="163"/>
      <c r="C770" s="206"/>
    </row>
    <row r="771" spans="2:3" ht="12.75" customHeight="1">
      <c r="B771" s="163"/>
      <c r="C771" s="206"/>
    </row>
    <row r="772" spans="2:3" ht="12.75" customHeight="1">
      <c r="B772" s="163"/>
      <c r="C772" s="206"/>
    </row>
    <row r="773" spans="2:3" ht="12.75" customHeight="1">
      <c r="B773" s="163"/>
      <c r="C773" s="206"/>
    </row>
    <row r="774" spans="2:3" ht="12.75" customHeight="1">
      <c r="B774" s="163"/>
      <c r="C774" s="206"/>
    </row>
    <row r="775" spans="2:3" ht="12.75" customHeight="1">
      <c r="B775" s="163"/>
      <c r="C775" s="206"/>
    </row>
    <row r="776" spans="2:3" ht="12.75" customHeight="1">
      <c r="B776" s="163"/>
      <c r="C776" s="206"/>
    </row>
    <row r="777" spans="2:3" ht="12.75" customHeight="1">
      <c r="B777" s="163"/>
      <c r="C777" s="206"/>
    </row>
    <row r="778" spans="2:3" ht="12.75" customHeight="1">
      <c r="B778" s="163"/>
      <c r="C778" s="206"/>
    </row>
    <row r="779" spans="2:3" ht="12.75" customHeight="1">
      <c r="B779" s="163"/>
      <c r="C779" s="206"/>
    </row>
    <row r="780" spans="2:3" ht="12.75" customHeight="1">
      <c r="B780" s="163"/>
      <c r="C780" s="206"/>
    </row>
    <row r="781" spans="2:3" ht="12.75" customHeight="1">
      <c r="B781" s="163"/>
      <c r="C781" s="206"/>
    </row>
    <row r="782" spans="2:3" ht="12.75" customHeight="1">
      <c r="B782" s="163"/>
      <c r="C782" s="206"/>
    </row>
    <row r="783" spans="2:3" ht="12.75" customHeight="1">
      <c r="B783" s="163"/>
      <c r="C783" s="206"/>
    </row>
    <row r="784" spans="2:3" ht="12.75" customHeight="1">
      <c r="B784" s="163"/>
      <c r="C784" s="206"/>
    </row>
    <row r="785" spans="2:3" ht="12.75" customHeight="1">
      <c r="B785" s="163"/>
      <c r="C785" s="206"/>
    </row>
    <row r="786" spans="2:3" ht="12.75" customHeight="1">
      <c r="B786" s="163"/>
      <c r="C786" s="206"/>
    </row>
    <row r="787" spans="2:3" ht="12.75" customHeight="1">
      <c r="B787" s="163"/>
      <c r="C787" s="206"/>
    </row>
    <row r="788" spans="2:3" ht="12.75" customHeight="1">
      <c r="B788" s="163"/>
      <c r="C788" s="206"/>
    </row>
    <row r="789" spans="2:3" ht="12.75" customHeight="1">
      <c r="B789" s="163"/>
      <c r="C789" s="206"/>
    </row>
    <row r="790" spans="2:3" ht="12.75" customHeight="1">
      <c r="B790" s="163"/>
      <c r="C790" s="206"/>
    </row>
    <row r="791" spans="2:3" ht="12.75" customHeight="1">
      <c r="B791" s="163"/>
      <c r="C791" s="206"/>
    </row>
    <row r="792" spans="2:3" ht="12.75" customHeight="1">
      <c r="B792" s="163"/>
      <c r="C792" s="206"/>
    </row>
    <row r="793" spans="2:3" ht="12.75" customHeight="1">
      <c r="B793" s="163"/>
      <c r="C793" s="206"/>
    </row>
    <row r="794" spans="2:3" ht="12.75" customHeight="1">
      <c r="B794" s="163"/>
      <c r="C794" s="206"/>
    </row>
    <row r="795" spans="2:3" ht="12.75" customHeight="1">
      <c r="B795" s="163"/>
      <c r="C795" s="206"/>
    </row>
    <row r="796" spans="2:3" ht="12.75" customHeight="1">
      <c r="B796" s="163"/>
      <c r="C796" s="206"/>
    </row>
    <row r="797" spans="2:3" ht="12.75" customHeight="1">
      <c r="B797" s="163"/>
      <c r="C797" s="206"/>
    </row>
    <row r="798" spans="2:3" ht="12.75" customHeight="1">
      <c r="B798" s="163"/>
      <c r="C798" s="206"/>
    </row>
    <row r="799" ht="12.75" customHeight="1">
      <c r="C799" s="206"/>
    </row>
    <row r="800" ht="12.75" customHeight="1">
      <c r="C800" s="206"/>
    </row>
    <row r="801" ht="12.75" customHeight="1">
      <c r="C801" s="206"/>
    </row>
    <row r="802" ht="12.75" customHeight="1">
      <c r="C802" s="206"/>
    </row>
    <row r="803" ht="12.75" customHeight="1">
      <c r="C803" s="206"/>
    </row>
    <row r="804" ht="12.75" customHeight="1">
      <c r="C804" s="206"/>
    </row>
    <row r="805" ht="12.75" customHeight="1">
      <c r="C805" s="206"/>
    </row>
    <row r="806" ht="12.75" customHeight="1">
      <c r="C806" s="206"/>
    </row>
    <row r="807" ht="12.75" customHeight="1">
      <c r="C807" s="206"/>
    </row>
    <row r="808" ht="12.75" customHeight="1">
      <c r="C808" s="206"/>
    </row>
    <row r="809" ht="12.75" customHeight="1">
      <c r="C809" s="206"/>
    </row>
    <row r="810" ht="12.75" customHeight="1">
      <c r="C810" s="206"/>
    </row>
    <row r="811" ht="12.75" customHeight="1">
      <c r="C811" s="206"/>
    </row>
    <row r="812" ht="12.75" customHeight="1">
      <c r="C812" s="206"/>
    </row>
    <row r="813" ht="12.75" customHeight="1">
      <c r="C813" s="206"/>
    </row>
    <row r="814" ht="12.75" customHeight="1">
      <c r="C814" s="206"/>
    </row>
    <row r="815" ht="12.75" customHeight="1">
      <c r="C815" s="206"/>
    </row>
    <row r="816" ht="12.75" customHeight="1">
      <c r="C816" s="206"/>
    </row>
    <row r="817" ht="12.75" customHeight="1">
      <c r="C817" s="206"/>
    </row>
    <row r="818" ht="12.75" customHeight="1">
      <c r="C818" s="206"/>
    </row>
    <row r="819" ht="12.75" customHeight="1">
      <c r="C819" s="206"/>
    </row>
    <row r="820" ht="12.75" customHeight="1">
      <c r="C820" s="206"/>
    </row>
    <row r="821" ht="12.75" customHeight="1">
      <c r="C821" s="206"/>
    </row>
    <row r="822" ht="12.75" customHeight="1">
      <c r="C822" s="206"/>
    </row>
    <row r="823" ht="12.75" customHeight="1">
      <c r="C823" s="206"/>
    </row>
    <row r="824" ht="12.75" customHeight="1">
      <c r="C824" s="206"/>
    </row>
    <row r="825" ht="12.75" customHeight="1">
      <c r="C825" s="206"/>
    </row>
    <row r="826" ht="12.75" customHeight="1">
      <c r="C826" s="206"/>
    </row>
    <row r="827" ht="12.75" customHeight="1">
      <c r="C827" s="206"/>
    </row>
    <row r="828" ht="12.75" customHeight="1">
      <c r="C828" s="206"/>
    </row>
    <row r="829" ht="12.75" customHeight="1">
      <c r="C829" s="206"/>
    </row>
    <row r="830" ht="12.75" customHeight="1">
      <c r="C830" s="206"/>
    </row>
    <row r="831" ht="12.75" customHeight="1">
      <c r="C831" s="206"/>
    </row>
    <row r="832" ht="12.75" customHeight="1">
      <c r="C832" s="206"/>
    </row>
    <row r="833" ht="12.75" customHeight="1">
      <c r="C833" s="206"/>
    </row>
    <row r="834" ht="12.75" customHeight="1">
      <c r="C834" s="206"/>
    </row>
    <row r="835" ht="12.75" customHeight="1">
      <c r="C835" s="206"/>
    </row>
    <row r="836" ht="12.75" customHeight="1">
      <c r="C836" s="206"/>
    </row>
    <row r="837" ht="12.75" customHeight="1">
      <c r="C837" s="206"/>
    </row>
    <row r="838" ht="12.75" customHeight="1">
      <c r="C838" s="206"/>
    </row>
    <row r="839" ht="12.75" customHeight="1">
      <c r="C839" s="206"/>
    </row>
    <row r="840" ht="12.75" customHeight="1">
      <c r="C840" s="206"/>
    </row>
    <row r="841" ht="12.75" customHeight="1">
      <c r="C841" s="206"/>
    </row>
    <row r="842" ht="12.75" customHeight="1">
      <c r="C842" s="206"/>
    </row>
    <row r="843" ht="12.75" customHeight="1">
      <c r="C843" s="206"/>
    </row>
    <row r="844" ht="12.75" customHeight="1">
      <c r="C844" s="206"/>
    </row>
    <row r="845" ht="12.75" customHeight="1">
      <c r="C845" s="206"/>
    </row>
    <row r="846" ht="12.75" customHeight="1">
      <c r="C846" s="206"/>
    </row>
    <row r="847" ht="12.75" customHeight="1">
      <c r="C847" s="206"/>
    </row>
    <row r="848" ht="12.75" customHeight="1">
      <c r="C848" s="206"/>
    </row>
    <row r="849" ht="12.75" customHeight="1">
      <c r="C849" s="206"/>
    </row>
    <row r="850" ht="12.75" customHeight="1">
      <c r="C850" s="206"/>
    </row>
    <row r="851" ht="12.75" customHeight="1">
      <c r="C851" s="206"/>
    </row>
    <row r="852" ht="12.75" customHeight="1">
      <c r="C852" s="206"/>
    </row>
    <row r="853" ht="12.75" customHeight="1">
      <c r="C853" s="206"/>
    </row>
    <row r="854" ht="12.75" customHeight="1">
      <c r="C854" s="206"/>
    </row>
    <row r="855" ht="12.75" customHeight="1">
      <c r="C855" s="206"/>
    </row>
    <row r="856" ht="12.75" customHeight="1">
      <c r="C856" s="206"/>
    </row>
    <row r="857" ht="12.75" customHeight="1">
      <c r="C857" s="206"/>
    </row>
    <row r="858" ht="12.75" customHeight="1">
      <c r="C858" s="206"/>
    </row>
    <row r="859" ht="12.75" customHeight="1">
      <c r="C859" s="206"/>
    </row>
    <row r="860" ht="12.75" customHeight="1">
      <c r="C860" s="206"/>
    </row>
    <row r="861" ht="12.75" customHeight="1">
      <c r="C861" s="206"/>
    </row>
    <row r="862" ht="12.75" customHeight="1">
      <c r="C862" s="206"/>
    </row>
    <row r="863" ht="12.75" customHeight="1">
      <c r="C863" s="206"/>
    </row>
    <row r="864" ht="12.75" customHeight="1">
      <c r="C864" s="206"/>
    </row>
    <row r="865" ht="12.75" customHeight="1">
      <c r="C865" s="206"/>
    </row>
    <row r="866" ht="12.75" customHeight="1">
      <c r="C866" s="206"/>
    </row>
    <row r="867" ht="12.75" customHeight="1">
      <c r="C867" s="206"/>
    </row>
    <row r="868" ht="12.75" customHeight="1">
      <c r="C868" s="206"/>
    </row>
  </sheetData>
  <mergeCells count="1">
    <mergeCell ref="A1:K1"/>
  </mergeCells>
  <printOptions/>
  <pageMargins left="1.1811023622047245" right="0.3937007874015748" top="0.984251968503937" bottom="0.984251968503937" header="0.5511811023622047" footer="0.5118110236220472"/>
  <pageSetup fitToHeight="8" fitToWidth="8" horizontalDpi="600" verticalDpi="600" orientation="portrait" paperSize="9" scale="43" r:id="rId1"/>
  <headerFooter alignWithMargins="0">
    <oddHeader>&amp;C
</oddHeader>
  </headerFooter>
  <rowBreaks count="11" manualBreakCount="11">
    <brk id="67" max="11" man="1"/>
    <brk id="127" max="11" man="1"/>
    <brk id="195" max="11" man="1"/>
    <brk id="253" max="11" man="1"/>
    <brk id="322" max="11" man="1"/>
    <brk id="367" max="11" man="1"/>
    <brk id="421" max="11" man="1"/>
    <brk id="488" max="11" man="1"/>
    <brk id="556" max="11" man="1"/>
    <brk id="628" max="11" man="1"/>
    <brk id="6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2">
      <selection activeCell="A595" sqref="A59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2010-11-16T11:16:37Z</cp:lastPrinted>
  <dcterms:created xsi:type="dcterms:W3CDTF">2000-09-19T11:36:23Z</dcterms:created>
  <dcterms:modified xsi:type="dcterms:W3CDTF">2010-11-18T09:45:14Z</dcterms:modified>
  <cp:category/>
  <cp:version/>
  <cp:contentType/>
  <cp:contentStatus/>
</cp:coreProperties>
</file>