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<sst xmlns="http://schemas.openxmlformats.org/spreadsheetml/2006/main" count="218" uniqueCount="153">
  <si>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</si>
  <si>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</si>
  <si>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</si>
  <si>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</si>
  <si>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</si>
  <si>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</si>
  <si>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</si>
  <si>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</si>
  <si>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</si>
  <si>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</si>
  <si>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</si>
  <si>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</si>
  <si>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</si>
  <si>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</si>
  <si>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</si>
  <si>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</si>
  <si>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</si>
  <si>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</si>
  <si>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</si>
  <si>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</si>
  <si>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</si>
  <si>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</si>
  <si>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</si>
  <si>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</si>
  <si>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</si>
  <si>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</si>
  <si>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</si>
  <si>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</si>
  <si>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</si>
  <si>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</si>
  <si>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</si>
  <si>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</si>
  <si>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</si>
  <si>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</si>
  <si>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</si>
  <si>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</si>
  <si>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</si>
  <si>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</si>
  <si>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</si>
  <si>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</si>
  <si>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</si>
  <si>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</si>
  <si>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</si>
  <si>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</si>
  <si>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</si>
  <si>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</si>
  <si>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</si>
  <si>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</si>
  <si>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</si>
  <si>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</si>
  <si>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</si>
  <si>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</si>
  <si>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</si>
  <si>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</si>
  <si>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</si>
  <si>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</si>
  <si>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</si>
  <si>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</si>
  <si>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</si>
  <si>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</si>
  <si>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</si>
  <si>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</si>
  <si>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</si>
  <si>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</si>
  <si>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</si>
  <si>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</si>
  <si>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</si>
  <si>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</si>
  <si>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</si>
  <si>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</si>
  <si>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</si>
  <si>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</si>
  <si>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</si>
  <si>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</si>
  <si>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</si>
  <si>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</si>
  <si>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</si>
  <si>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</si>
  <si>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</si>
  <si>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</si>
  <si>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</si>
  <si>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</si>
  <si>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</si>
  <si>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</si>
  <si>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</si>
  <si>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</si>
  <si>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</si>
  <si>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</si>
  <si>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</si>
  <si>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</si>
  <si>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</si>
  <si>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</si>
  <si>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</si>
  <si>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</si>
  <si>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</si>
  <si>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</si>
  <si>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</si>
  <si>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</si>
  <si>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</si>
  <si>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</si>
  <si>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</si>
  <si>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</si>
  <si>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</si>
  <si>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</si>
  <si>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</si>
  <si>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</si>
  <si>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</si>
  <si>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</si>
  <si>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</si>
  <si>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</si>
  <si>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</si>
  <si>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</si>
  <si>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</si>
  <si>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</si>
  <si>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</si>
  <si>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</si>
  <si>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</si>
  <si>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</si>
  <si>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</si>
  <si>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</si>
  <si>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</si>
  <si>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</si>
  <si>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</si>
  <si>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</si>
  <si>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</si>
  <si>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</si>
  <si>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</si>
  <si>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</si>
  <si>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</si>
  <si>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</si>
  <si>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</si>
  <si>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</si>
  <si>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</si>
  <si>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</si>
  <si>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</si>
  <si>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</si>
  <si>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</si>
  <si>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</si>
  <si>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</si>
  <si>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</si>
  <si>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</si>
  <si>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</si>
  <si>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</si>
  <si>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</si>
  <si>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</si>
  <si>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</si>
  <si>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</si>
  <si>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</si>
  <si>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</si>
  <si>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</si>
  <si>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</si>
  <si>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Plan na 2011</t>
  </si>
  <si>
    <t>Wieloletnia Prognoza Finansowa wraz z prognozą kwoty długu na lata 2011-2027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</si>
</sst>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 Narrow"/>
      <family val="2"/>
    </font>
    <font>
      <sz val="10"/>
      <color theme="0" tint="-0.49996998906135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6" borderId="10" xfId="55" applyFont="1" applyFill="1" applyBorder="1">
      <alignment/>
      <protection/>
    </xf>
    <xf numFmtId="0" fontId="22" fillId="26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3" fontId="22" fillId="27" borderId="10" xfId="55" applyNumberFormat="1" applyFont="1" applyFill="1" applyBorder="1" applyAlignment="1">
      <alignment horizontal="right" vertical="center" wrapText="1"/>
      <protection/>
    </xf>
    <xf numFmtId="0" fontId="24" fillId="26" borderId="10" xfId="55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3" fontId="24" fillId="26" borderId="10" xfId="55" applyNumberFormat="1" applyFont="1" applyFill="1" applyBorder="1">
      <alignment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6" borderId="10" xfId="55" applyNumberFormat="1" applyFont="1" applyFill="1" applyBorder="1" applyAlignment="1">
      <alignment horizontal="right" vertical="center" wrapText="1"/>
      <protection/>
    </xf>
    <xf numFmtId="3" fontId="22" fillId="26" borderId="10" xfId="55" applyNumberFormat="1" applyFont="1" applyFill="1" applyBorder="1" applyAlignment="1">
      <alignment vertical="center"/>
      <protection/>
    </xf>
    <xf numFmtId="3" fontId="22" fillId="26" borderId="11" xfId="55" applyNumberFormat="1" applyFont="1" applyFill="1" applyBorder="1" applyAlignment="1">
      <alignment vertical="center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7" borderId="10" xfId="55" applyNumberFormat="1" applyFont="1" applyFill="1" applyBorder="1" applyAlignment="1">
      <alignment vertical="center"/>
      <protection/>
    </xf>
    <xf numFmtId="3" fontId="22" fillId="27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9" fillId="26" borderId="13" xfId="55" applyFont="1" applyFill="1" applyBorder="1" applyAlignment="1">
      <alignment horizontal="center" vertical="center"/>
      <protection/>
    </xf>
    <xf numFmtId="0" fontId="29" fillId="26" borderId="23" xfId="55" applyFont="1" applyFill="1" applyBorder="1" applyAlignment="1">
      <alignment horizontal="center" vertical="center"/>
      <protection/>
    </xf>
    <xf numFmtId="0" fontId="22" fillId="26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3" fontId="22" fillId="25" borderId="24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49" fontId="24" fillId="20" borderId="24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4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6" xfId="55" applyFont="1" applyFill="1" applyBorder="1" applyAlignment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3" fontId="22" fillId="25" borderId="25" xfId="55" applyNumberFormat="1" applyFont="1" applyFill="1" applyBorder="1" applyAlignment="1">
      <alignment horizontal="left" vertical="center" wrapText="1"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49">
      <selection activeCell="I62" sqref="I62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4" width="9.28125" style="3" customWidth="1"/>
    <col min="5" max="6" width="8.7109375" style="3" customWidth="1"/>
    <col min="7" max="7" width="9.28125" style="3" customWidth="1"/>
    <col min="8" max="8" width="9.851562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59"/>
      <c r="G1" s="159"/>
      <c r="J1" s="165" t="s">
        <v>90</v>
      </c>
      <c r="K1" s="165"/>
      <c r="L1" s="165"/>
      <c r="M1" s="165"/>
      <c r="N1" s="165"/>
      <c r="O1" s="165"/>
      <c r="P1" s="165"/>
      <c r="Q1" s="165"/>
      <c r="R1" s="165"/>
      <c r="S1" s="165"/>
    </row>
    <row r="2" spans="1:7" ht="12.75" customHeight="1">
      <c r="A2" s="4"/>
      <c r="B2" s="5"/>
      <c r="C2" s="5"/>
      <c r="D2" s="5"/>
      <c r="E2" s="2"/>
      <c r="F2" s="159"/>
      <c r="G2" s="159"/>
    </row>
    <row r="3" spans="1:37" ht="17.25" customHeight="1">
      <c r="A3" s="4"/>
      <c r="B3" s="16" t="s">
        <v>152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4"/>
      <c r="T3" s="113" t="s">
        <v>129</v>
      </c>
      <c r="U3" s="110"/>
      <c r="V3" s="108"/>
      <c r="W3" s="108"/>
      <c r="X3" s="100"/>
      <c r="Y3" s="100"/>
      <c r="Z3" s="100"/>
      <c r="AA3" s="100"/>
      <c r="AB3" s="100"/>
      <c r="AC3" s="39"/>
      <c r="AD3" s="101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66" t="s">
        <v>93</v>
      </c>
      <c r="M4" s="166"/>
      <c r="N4" s="166"/>
      <c r="O4" s="166"/>
      <c r="P4" s="166"/>
      <c r="Q4" s="166"/>
      <c r="R4" s="166"/>
      <c r="S4" s="166"/>
      <c r="T4" s="111"/>
      <c r="U4" s="111"/>
      <c r="V4" s="109"/>
      <c r="W4" s="109"/>
      <c r="X4" s="100"/>
      <c r="Y4" s="100"/>
      <c r="Z4" s="100"/>
      <c r="AA4" s="100"/>
      <c r="AB4" s="100"/>
      <c r="AC4" s="39"/>
      <c r="AD4" s="39"/>
      <c r="AE4"/>
      <c r="AF4"/>
      <c r="AG4"/>
      <c r="AH4"/>
      <c r="AI4"/>
      <c r="AJ4"/>
      <c r="AK4"/>
    </row>
    <row r="5" spans="1:37" ht="29.25" customHeight="1">
      <c r="A5" s="155" t="s">
        <v>91</v>
      </c>
      <c r="B5" s="156"/>
      <c r="C5" s="160" t="s">
        <v>151</v>
      </c>
      <c r="D5" s="84" t="s">
        <v>114</v>
      </c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150" t="s">
        <v>91</v>
      </c>
      <c r="U5" s="151"/>
      <c r="V5" s="103" t="s">
        <v>130</v>
      </c>
      <c r="W5" s="103" t="s">
        <v>131</v>
      </c>
      <c r="X5" s="103" t="s">
        <v>132</v>
      </c>
      <c r="Y5" s="103" t="s">
        <v>133</v>
      </c>
      <c r="Z5" s="103" t="s">
        <v>134</v>
      </c>
      <c r="AA5" s="103" t="s">
        <v>135</v>
      </c>
      <c r="AB5" s="103" t="s">
        <v>136</v>
      </c>
      <c r="AC5" s="103" t="s">
        <v>137</v>
      </c>
      <c r="AD5" s="103" t="s">
        <v>138</v>
      </c>
      <c r="AE5" s="112" t="s">
        <v>140</v>
      </c>
      <c r="AF5" s="112" t="s">
        <v>141</v>
      </c>
      <c r="AG5" s="112" t="s">
        <v>142</v>
      </c>
      <c r="AH5" s="112" t="s">
        <v>143</v>
      </c>
      <c r="AI5" s="112" t="s">
        <v>144</v>
      </c>
      <c r="AJ5" s="112" t="s">
        <v>145</v>
      </c>
      <c r="AK5" s="112" t="s">
        <v>146</v>
      </c>
    </row>
    <row r="6" spans="1:37" ht="21.75" customHeight="1">
      <c r="A6" s="156"/>
      <c r="B6" s="156"/>
      <c r="C6" s="161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8">
        <v>2020</v>
      </c>
      <c r="M6" s="91">
        <v>2021</v>
      </c>
      <c r="N6" s="91">
        <v>2022</v>
      </c>
      <c r="O6" s="91">
        <v>2023</v>
      </c>
      <c r="P6" s="92">
        <v>2024</v>
      </c>
      <c r="Q6" s="91">
        <v>2025</v>
      </c>
      <c r="R6" s="91">
        <v>2026</v>
      </c>
      <c r="S6" s="91">
        <v>2027</v>
      </c>
      <c r="T6" s="102"/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6"/>
      <c r="AF6" s="106"/>
      <c r="AG6" s="106"/>
      <c r="AH6" s="106"/>
      <c r="AI6" s="106"/>
      <c r="AJ6" s="106"/>
      <c r="AK6" s="106"/>
    </row>
    <row r="7" spans="1:37" ht="29.25" customHeight="1">
      <c r="A7" s="41" t="s">
        <v>121</v>
      </c>
      <c r="B7" s="42" t="s">
        <v>2</v>
      </c>
      <c r="C7" s="24">
        <f>C8+C12</f>
        <v>96327783</v>
      </c>
      <c r="D7" s="24">
        <f aca="true" t="shared" si="0" ref="D7:S7">D8+D12</f>
        <v>97019123.78999999</v>
      </c>
      <c r="E7" s="24">
        <f t="shared" si="0"/>
        <v>94735830.76750001</v>
      </c>
      <c r="F7" s="24">
        <f t="shared" si="0"/>
        <v>96372284.87749499</v>
      </c>
      <c r="G7" s="24">
        <f t="shared" si="0"/>
        <v>96833801.22185043</v>
      </c>
      <c r="H7" s="24">
        <f t="shared" si="0"/>
        <v>99323425.53016102</v>
      </c>
      <c r="I7" s="24">
        <f t="shared" si="0"/>
        <v>102441688.73807657</v>
      </c>
      <c r="J7" s="24">
        <f t="shared" si="0"/>
        <v>104039132.08772352</v>
      </c>
      <c r="K7" s="24">
        <f t="shared" si="0"/>
        <v>105716307.3307123</v>
      </c>
      <c r="L7" s="69">
        <f t="shared" si="0"/>
        <v>105423776.93517318</v>
      </c>
      <c r="M7" s="69">
        <f t="shared" si="0"/>
        <v>107112114.29690178</v>
      </c>
      <c r="N7" s="69">
        <f t="shared" si="0"/>
        <v>108601903.95469517</v>
      </c>
      <c r="O7" s="69">
        <f t="shared" si="0"/>
        <v>110383741.80996299</v>
      </c>
      <c r="P7" s="69">
        <f t="shared" si="0"/>
        <v>112503235.35069789</v>
      </c>
      <c r="Q7" s="69">
        <f t="shared" si="0"/>
        <v>114836003.87989286</v>
      </c>
      <c r="R7" s="69">
        <f t="shared" si="0"/>
        <v>117037678.74849352</v>
      </c>
      <c r="S7" s="24">
        <f t="shared" si="0"/>
        <v>117623903.59297624</v>
      </c>
      <c r="T7" s="41" t="s">
        <v>121</v>
      </c>
      <c r="U7" s="42" t="s">
        <v>2</v>
      </c>
      <c r="V7" s="119">
        <f>D7/C7</f>
        <v>1.0071769615002972</v>
      </c>
      <c r="W7" s="119">
        <f aca="true" t="shared" si="1" ref="W7:AK14">E7/D7</f>
        <v>0.9764655365529561</v>
      </c>
      <c r="X7" s="119">
        <f t="shared" si="1"/>
        <v>1.0172738666747025</v>
      </c>
      <c r="Y7" s="119">
        <f t="shared" si="1"/>
        <v>1.0047888907577744</v>
      </c>
      <c r="Z7" s="119">
        <f t="shared" si="1"/>
        <v>1.0257102817084167</v>
      </c>
      <c r="AA7" s="119">
        <f t="shared" si="1"/>
        <v>1.0313950429243768</v>
      </c>
      <c r="AB7" s="119">
        <f t="shared" si="1"/>
        <v>1.0155936842639455</v>
      </c>
      <c r="AC7" s="119">
        <f t="shared" si="1"/>
        <v>1.0161206193221088</v>
      </c>
      <c r="AD7" s="119">
        <f t="shared" si="1"/>
        <v>0.9972328734996012</v>
      </c>
      <c r="AE7" s="119">
        <f t="shared" si="1"/>
        <v>1.016014768307597</v>
      </c>
      <c r="AF7" s="119">
        <f t="shared" si="1"/>
        <v>1.0139086943393152</v>
      </c>
      <c r="AG7" s="119">
        <f t="shared" si="1"/>
        <v>1.0164070590881273</v>
      </c>
      <c r="AH7" s="119">
        <f t="shared" si="1"/>
        <v>1.0192011387363895</v>
      </c>
      <c r="AI7" s="119">
        <f t="shared" si="1"/>
        <v>1.0207351239448643</v>
      </c>
      <c r="AJ7" s="119">
        <f t="shared" si="1"/>
        <v>1.019172339634035</v>
      </c>
      <c r="AK7" s="119">
        <f t="shared" si="1"/>
        <v>1.0050088557014403</v>
      </c>
    </row>
    <row r="8" spans="1:37" ht="15.75" customHeight="1">
      <c r="A8" s="43" t="s">
        <v>9</v>
      </c>
      <c r="B8" s="44" t="s">
        <v>98</v>
      </c>
      <c r="C8" s="11">
        <f>C9+C10+C11</f>
        <v>86103880</v>
      </c>
      <c r="D8" s="11">
        <f>D9+D10+D11</f>
        <v>88638874.78999999</v>
      </c>
      <c r="E8" s="11">
        <f aca="true" t="shared" si="2" ref="E8:S8">E9+E10+E11</f>
        <v>91266177.76750001</v>
      </c>
      <c r="F8" s="11">
        <f t="shared" si="2"/>
        <v>93687631.87749499</v>
      </c>
      <c r="G8" s="11">
        <f t="shared" si="2"/>
        <v>95249148.22185043</v>
      </c>
      <c r="H8" s="11">
        <f t="shared" si="2"/>
        <v>96838772.53016102</v>
      </c>
      <c r="I8" s="11">
        <f t="shared" si="2"/>
        <v>98457035.73807657</v>
      </c>
      <c r="J8" s="11">
        <f t="shared" si="2"/>
        <v>100104479.08772352</v>
      </c>
      <c r="K8" s="11">
        <f t="shared" si="2"/>
        <v>101781654.3307123</v>
      </c>
      <c r="L8" s="70">
        <f t="shared" si="2"/>
        <v>103489123.93517318</v>
      </c>
      <c r="M8" s="70">
        <f t="shared" si="2"/>
        <v>105227461.29690178</v>
      </c>
      <c r="N8" s="70">
        <f t="shared" si="2"/>
        <v>106997250.95469517</v>
      </c>
      <c r="O8" s="70">
        <f t="shared" si="2"/>
        <v>108799088.80996299</v>
      </c>
      <c r="P8" s="70">
        <f t="shared" si="2"/>
        <v>110633582.35069789</v>
      </c>
      <c r="Q8" s="70">
        <f t="shared" si="2"/>
        <v>112501350.87989286</v>
      </c>
      <c r="R8" s="70">
        <f t="shared" si="2"/>
        <v>114403025.74849352</v>
      </c>
      <c r="S8" s="11">
        <f t="shared" si="2"/>
        <v>116339250.59297624</v>
      </c>
      <c r="T8" s="43" t="s">
        <v>9</v>
      </c>
      <c r="U8" s="44" t="s">
        <v>98</v>
      </c>
      <c r="V8" s="118">
        <f>D8/C8</f>
        <v>1.0294411214686259</v>
      </c>
      <c r="W8" s="118">
        <f t="shared" si="1"/>
        <v>1.0296405271809297</v>
      </c>
      <c r="X8" s="118">
        <f t="shared" si="1"/>
        <v>1.026531779562015</v>
      </c>
      <c r="Y8" s="118">
        <f t="shared" si="1"/>
        <v>1.0166672624023334</v>
      </c>
      <c r="Z8" s="118">
        <f t="shared" si="1"/>
        <v>1.016689118359443</v>
      </c>
      <c r="AA8" s="118">
        <f t="shared" si="1"/>
        <v>1.0167109016939628</v>
      </c>
      <c r="AB8" s="118">
        <f t="shared" si="1"/>
        <v>1.0167326117153235</v>
      </c>
      <c r="AC8" s="118">
        <f t="shared" si="1"/>
        <v>1.0167542477446891</v>
      </c>
      <c r="AD8" s="118">
        <f t="shared" si="1"/>
        <v>1.0167758091149994</v>
      </c>
      <c r="AE8" s="118">
        <f t="shared" si="1"/>
        <v>1.0167972951710125</v>
      </c>
      <c r="AF8" s="118">
        <f t="shared" si="1"/>
        <v>1.0168187052693392</v>
      </c>
      <c r="AG8" s="118">
        <f t="shared" si="1"/>
        <v>1.01684003877848</v>
      </c>
      <c r="AH8" s="118">
        <f t="shared" si="1"/>
        <v>1.016861295078851</v>
      </c>
      <c r="AI8" s="118">
        <f t="shared" si="1"/>
        <v>1.016882473562813</v>
      </c>
      <c r="AJ8" s="118">
        <f t="shared" si="1"/>
        <v>1.0169035736346927</v>
      </c>
      <c r="AK8" s="118">
        <f t="shared" si="1"/>
        <v>1.016924594710802</v>
      </c>
    </row>
    <row r="9" spans="1:37" ht="15.75" customHeight="1">
      <c r="A9" s="43" t="s">
        <v>11</v>
      </c>
      <c r="B9" s="44" t="s">
        <v>124</v>
      </c>
      <c r="C9" s="10">
        <f>(54559057-1440+1240916)</f>
        <v>55798533</v>
      </c>
      <c r="D9" s="10">
        <f>C9*1.04</f>
        <v>58030474.32</v>
      </c>
      <c r="E9" s="10">
        <f>D9*1.04</f>
        <v>60351693.2928</v>
      </c>
      <c r="F9" s="10">
        <f>E9*1.035</f>
        <v>62464002.558047995</v>
      </c>
      <c r="G9" s="10">
        <f>F9*1.02</f>
        <v>63713282.60920896</v>
      </c>
      <c r="H9" s="10">
        <f aca="true" t="shared" si="3" ref="H9:S9">G9*1.02</f>
        <v>64987548.26139314</v>
      </c>
      <c r="I9" s="10">
        <f t="shared" si="3"/>
        <v>66287299.226621</v>
      </c>
      <c r="J9" s="10">
        <f t="shared" si="3"/>
        <v>67613045.21115342</v>
      </c>
      <c r="K9" s="10">
        <f t="shared" si="3"/>
        <v>68965306.11537649</v>
      </c>
      <c r="L9" s="10">
        <f t="shared" si="3"/>
        <v>70344612.23768401</v>
      </c>
      <c r="M9" s="10">
        <f t="shared" si="3"/>
        <v>71751504.4824377</v>
      </c>
      <c r="N9" s="10">
        <f t="shared" si="3"/>
        <v>73186534.57208645</v>
      </c>
      <c r="O9" s="10">
        <f t="shared" si="3"/>
        <v>74650265.26352818</v>
      </c>
      <c r="P9" s="10">
        <f t="shared" si="3"/>
        <v>76143270.56879875</v>
      </c>
      <c r="Q9" s="10">
        <f t="shared" si="3"/>
        <v>77666135.98017472</v>
      </c>
      <c r="R9" s="10">
        <f t="shared" si="3"/>
        <v>79219458.69977821</v>
      </c>
      <c r="S9" s="10">
        <f t="shared" si="3"/>
        <v>80803847.87377378</v>
      </c>
      <c r="T9" s="43" t="s">
        <v>11</v>
      </c>
      <c r="U9" s="44" t="s">
        <v>124</v>
      </c>
      <c r="V9" s="118">
        <f aca="true" t="shared" si="4" ref="V9:V14">D9/C9</f>
        <v>1.04</v>
      </c>
      <c r="W9" s="118">
        <f t="shared" si="1"/>
        <v>1.04</v>
      </c>
      <c r="X9" s="118">
        <f t="shared" si="1"/>
        <v>1.035</v>
      </c>
      <c r="Y9" s="118">
        <f t="shared" si="1"/>
        <v>1.02</v>
      </c>
      <c r="Z9" s="118">
        <f t="shared" si="1"/>
        <v>1.02</v>
      </c>
      <c r="AA9" s="118">
        <f t="shared" si="1"/>
        <v>1.02</v>
      </c>
      <c r="AB9" s="118">
        <f t="shared" si="1"/>
        <v>1.02</v>
      </c>
      <c r="AC9" s="118">
        <f t="shared" si="1"/>
        <v>1.02</v>
      </c>
      <c r="AD9" s="118">
        <f t="shared" si="1"/>
        <v>1.02</v>
      </c>
      <c r="AE9" s="118">
        <f t="shared" si="1"/>
        <v>1.02</v>
      </c>
      <c r="AF9" s="118">
        <f t="shared" si="1"/>
        <v>1.02</v>
      </c>
      <c r="AG9" s="118">
        <f t="shared" si="1"/>
        <v>1.02</v>
      </c>
      <c r="AH9" s="118">
        <f t="shared" si="1"/>
        <v>1.02</v>
      </c>
      <c r="AI9" s="118">
        <f t="shared" si="1"/>
        <v>1.02</v>
      </c>
      <c r="AJ9" s="118">
        <f t="shared" si="1"/>
        <v>1.02</v>
      </c>
      <c r="AK9" s="118">
        <f t="shared" si="1"/>
        <v>1.02</v>
      </c>
    </row>
    <row r="10" spans="1:37" ht="13.5" customHeight="1">
      <c r="A10" s="43" t="s">
        <v>12</v>
      </c>
      <c r="B10" s="44" t="s">
        <v>125</v>
      </c>
      <c r="C10" s="10">
        <f>(19853126-251804)</f>
        <v>19601322</v>
      </c>
      <c r="D10" s="10">
        <f aca="true" t="shared" si="5" ref="D10:L10">C10*1.01</f>
        <v>19797335.22</v>
      </c>
      <c r="E10" s="10">
        <f t="shared" si="5"/>
        <v>19995308.5722</v>
      </c>
      <c r="F10" s="10">
        <f t="shared" si="5"/>
        <v>20195261.657922</v>
      </c>
      <c r="G10" s="10">
        <f t="shared" si="5"/>
        <v>20397214.27450122</v>
      </c>
      <c r="H10" s="10">
        <f t="shared" si="5"/>
        <v>20601186.41724623</v>
      </c>
      <c r="I10" s="10">
        <f t="shared" si="5"/>
        <v>20807198.281418692</v>
      </c>
      <c r="J10" s="10">
        <f t="shared" si="5"/>
        <v>21015270.264232878</v>
      </c>
      <c r="K10" s="10">
        <f t="shared" si="5"/>
        <v>21225422.966875207</v>
      </c>
      <c r="L10" s="19">
        <f t="shared" si="5"/>
        <v>21437677.196543958</v>
      </c>
      <c r="M10" s="19">
        <f aca="true" t="shared" si="6" ref="M10:P11">L10*1.01</f>
        <v>21652053.9685094</v>
      </c>
      <c r="N10" s="19">
        <f t="shared" si="6"/>
        <v>21868574.50819449</v>
      </c>
      <c r="O10" s="19">
        <f t="shared" si="6"/>
        <v>22087260.253276438</v>
      </c>
      <c r="P10" s="19">
        <f t="shared" si="6"/>
        <v>22308132.8558092</v>
      </c>
      <c r="Q10" s="19">
        <f aca="true" t="shared" si="7" ref="Q10:S11">P10*1.01</f>
        <v>22531214.18436729</v>
      </c>
      <c r="R10" s="19">
        <f t="shared" si="7"/>
        <v>22756526.326210964</v>
      </c>
      <c r="S10" s="10">
        <f t="shared" si="7"/>
        <v>22984091.589473076</v>
      </c>
      <c r="T10" s="43" t="s">
        <v>12</v>
      </c>
      <c r="U10" s="44" t="s">
        <v>125</v>
      </c>
      <c r="V10" s="118">
        <f t="shared" si="4"/>
        <v>1.01</v>
      </c>
      <c r="W10" s="118">
        <f t="shared" si="1"/>
        <v>1.01</v>
      </c>
      <c r="X10" s="118">
        <f t="shared" si="1"/>
        <v>1.01</v>
      </c>
      <c r="Y10" s="118">
        <f t="shared" si="1"/>
        <v>1.01</v>
      </c>
      <c r="Z10" s="118">
        <f t="shared" si="1"/>
        <v>1.01</v>
      </c>
      <c r="AA10" s="118">
        <f t="shared" si="1"/>
        <v>1.01</v>
      </c>
      <c r="AB10" s="118">
        <f t="shared" si="1"/>
        <v>1.01</v>
      </c>
      <c r="AC10" s="118">
        <f t="shared" si="1"/>
        <v>1.01</v>
      </c>
      <c r="AD10" s="118">
        <f t="shared" si="1"/>
        <v>1.01</v>
      </c>
      <c r="AE10" s="118">
        <f t="shared" si="1"/>
        <v>1.01</v>
      </c>
      <c r="AF10" s="118">
        <f t="shared" si="1"/>
        <v>1.01</v>
      </c>
      <c r="AG10" s="118">
        <f t="shared" si="1"/>
        <v>1.01</v>
      </c>
      <c r="AH10" s="118">
        <f t="shared" si="1"/>
        <v>1.01</v>
      </c>
      <c r="AI10" s="118">
        <f t="shared" si="1"/>
        <v>1.01</v>
      </c>
      <c r="AJ10" s="118">
        <f t="shared" si="1"/>
        <v>1.01</v>
      </c>
      <c r="AK10" s="118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(10484795+14513+46720-19640+176737+900)</f>
        <v>10704025</v>
      </c>
      <c r="D11" s="12">
        <f aca="true" t="shared" si="8" ref="D11:M11">C11*1.01</f>
        <v>10811065.25</v>
      </c>
      <c r="E11" s="12">
        <f t="shared" si="8"/>
        <v>10919175.9025</v>
      </c>
      <c r="F11" s="12">
        <f t="shared" si="8"/>
        <v>11028367.661525</v>
      </c>
      <c r="G11" s="12">
        <f t="shared" si="8"/>
        <v>11138651.33814025</v>
      </c>
      <c r="H11" s="12">
        <f t="shared" si="8"/>
        <v>11250037.851521652</v>
      </c>
      <c r="I11" s="12">
        <f t="shared" si="8"/>
        <v>11362538.23003687</v>
      </c>
      <c r="J11" s="12">
        <f t="shared" si="8"/>
        <v>11476163.61233724</v>
      </c>
      <c r="K11" s="12">
        <f t="shared" si="8"/>
        <v>11590925.248460611</v>
      </c>
      <c r="L11" s="71">
        <f t="shared" si="8"/>
        <v>11706834.500945218</v>
      </c>
      <c r="M11" s="71">
        <f t="shared" si="8"/>
        <v>11823902.84595467</v>
      </c>
      <c r="N11" s="71">
        <f t="shared" si="6"/>
        <v>11942141.874414217</v>
      </c>
      <c r="O11" s="71">
        <f t="shared" si="6"/>
        <v>12061563.29315836</v>
      </c>
      <c r="P11" s="71">
        <f t="shared" si="6"/>
        <v>12182178.926089944</v>
      </c>
      <c r="Q11" s="71">
        <f t="shared" si="7"/>
        <v>12304000.715350844</v>
      </c>
      <c r="R11" s="71">
        <f t="shared" si="7"/>
        <v>12427040.722504353</v>
      </c>
      <c r="S11" s="12">
        <f t="shared" si="7"/>
        <v>12551311.129729398</v>
      </c>
      <c r="T11" s="43" t="s">
        <v>13</v>
      </c>
      <c r="U11" s="44" t="s">
        <v>3</v>
      </c>
      <c r="V11" s="118">
        <f t="shared" si="4"/>
        <v>1.01</v>
      </c>
      <c r="W11" s="118">
        <f t="shared" si="1"/>
        <v>1.01</v>
      </c>
      <c r="X11" s="118">
        <f t="shared" si="1"/>
        <v>1.01</v>
      </c>
      <c r="Y11" s="118">
        <f t="shared" si="1"/>
        <v>1.01</v>
      </c>
      <c r="Z11" s="118">
        <f t="shared" si="1"/>
        <v>1.01</v>
      </c>
      <c r="AA11" s="118">
        <f t="shared" si="1"/>
        <v>1.01</v>
      </c>
      <c r="AB11" s="118">
        <f t="shared" si="1"/>
        <v>1.01</v>
      </c>
      <c r="AC11" s="118">
        <f t="shared" si="1"/>
        <v>1.01</v>
      </c>
      <c r="AD11" s="118">
        <f t="shared" si="1"/>
        <v>1.01</v>
      </c>
      <c r="AE11" s="118">
        <f t="shared" si="1"/>
        <v>1.01</v>
      </c>
      <c r="AF11" s="118">
        <f t="shared" si="1"/>
        <v>1.01</v>
      </c>
      <c r="AG11" s="118">
        <f t="shared" si="1"/>
        <v>1.01</v>
      </c>
      <c r="AH11" s="118">
        <f t="shared" si="1"/>
        <v>1.01</v>
      </c>
      <c r="AI11" s="118">
        <f t="shared" si="1"/>
        <v>1.01</v>
      </c>
      <c r="AJ11" s="118">
        <f t="shared" si="1"/>
        <v>1.01</v>
      </c>
      <c r="AK11" s="118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10223903</v>
      </c>
      <c r="D12" s="9">
        <f aca="true" t="shared" si="9" ref="D12:S12">D13+D14+D15</f>
        <v>8380249</v>
      </c>
      <c r="E12" s="9">
        <f t="shared" si="9"/>
        <v>3469653</v>
      </c>
      <c r="F12" s="9">
        <f t="shared" si="9"/>
        <v>2684653</v>
      </c>
      <c r="G12" s="9">
        <f t="shared" si="9"/>
        <v>1584653</v>
      </c>
      <c r="H12" s="9">
        <f t="shared" si="9"/>
        <v>2484653</v>
      </c>
      <c r="I12" s="9">
        <f t="shared" si="9"/>
        <v>3984653</v>
      </c>
      <c r="J12" s="9">
        <f t="shared" si="9"/>
        <v>3934653</v>
      </c>
      <c r="K12" s="9">
        <f t="shared" si="9"/>
        <v>3934653</v>
      </c>
      <c r="L12" s="72">
        <f t="shared" si="9"/>
        <v>1934653</v>
      </c>
      <c r="M12" s="72">
        <f t="shared" si="9"/>
        <v>1884653</v>
      </c>
      <c r="N12" s="72">
        <f t="shared" si="9"/>
        <v>1604653</v>
      </c>
      <c r="O12" s="72">
        <f t="shared" si="9"/>
        <v>1584653</v>
      </c>
      <c r="P12" s="72">
        <f t="shared" si="9"/>
        <v>1869653</v>
      </c>
      <c r="Q12" s="72">
        <f t="shared" si="9"/>
        <v>2334653</v>
      </c>
      <c r="R12" s="72">
        <f t="shared" si="9"/>
        <v>2634653</v>
      </c>
      <c r="S12" s="9">
        <f t="shared" si="9"/>
        <v>1284653</v>
      </c>
      <c r="T12" s="43" t="s">
        <v>10</v>
      </c>
      <c r="U12" s="44" t="s">
        <v>1</v>
      </c>
      <c r="V12" s="118">
        <f t="shared" si="4"/>
        <v>0.8196721936818062</v>
      </c>
      <c r="W12" s="118">
        <f t="shared" si="1"/>
        <v>0.4140274352229868</v>
      </c>
      <c r="X12" s="118">
        <f t="shared" si="1"/>
        <v>0.7737525913974683</v>
      </c>
      <c r="Y12" s="118">
        <f t="shared" si="1"/>
        <v>0.5902636206615901</v>
      </c>
      <c r="Z12" s="118">
        <f t="shared" si="1"/>
        <v>1.567947683183637</v>
      </c>
      <c r="AA12" s="118">
        <f t="shared" si="1"/>
        <v>1.6037060305805277</v>
      </c>
      <c r="AB12" s="118">
        <f t="shared" si="1"/>
        <v>0.9874518559081557</v>
      </c>
      <c r="AC12" s="118">
        <f t="shared" si="1"/>
        <v>1</v>
      </c>
      <c r="AD12" s="118">
        <f t="shared" si="1"/>
        <v>0.4916959640405393</v>
      </c>
      <c r="AE12" s="118">
        <f t="shared" si="1"/>
        <v>0.974155572084503</v>
      </c>
      <c r="AF12" s="118">
        <f t="shared" si="1"/>
        <v>0.8514315367338179</v>
      </c>
      <c r="AG12" s="118">
        <f t="shared" si="1"/>
        <v>0.9875362461541529</v>
      </c>
      <c r="AH12" s="118">
        <f t="shared" si="1"/>
        <v>1.1798500996748185</v>
      </c>
      <c r="AI12" s="118">
        <f t="shared" si="1"/>
        <v>1.2487092524655645</v>
      </c>
      <c r="AJ12" s="118">
        <f t="shared" si="1"/>
        <v>1.128498753347928</v>
      </c>
      <c r="AK12" s="118">
        <f t="shared" si="1"/>
        <v>0.4875985566220675</v>
      </c>
    </row>
    <row r="13" spans="1:37" ht="15" customHeight="1">
      <c r="A13" s="43" t="s">
        <v>11</v>
      </c>
      <c r="B13" s="44" t="s">
        <v>99</v>
      </c>
      <c r="C13" s="10">
        <v>4964219</v>
      </c>
      <c r="D13" s="10">
        <f>(2670000+141500)</f>
        <v>2811500</v>
      </c>
      <c r="E13" s="10">
        <v>2790000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99</v>
      </c>
      <c r="V13" s="118">
        <f t="shared" si="4"/>
        <v>0.5663529348725348</v>
      </c>
      <c r="W13" s="118">
        <f t="shared" si="1"/>
        <v>0.9923528365641117</v>
      </c>
      <c r="X13" s="118">
        <f t="shared" si="1"/>
        <v>0.9498207885304659</v>
      </c>
      <c r="Y13" s="118">
        <f t="shared" si="1"/>
        <v>0.5849056603773585</v>
      </c>
      <c r="Z13" s="118">
        <f t="shared" si="1"/>
        <v>1.5806451612903225</v>
      </c>
      <c r="AA13" s="118">
        <f t="shared" si="1"/>
        <v>1.6122448979591837</v>
      </c>
      <c r="AB13" s="118">
        <f t="shared" si="1"/>
        <v>0.9873417721518988</v>
      </c>
      <c r="AC13" s="118">
        <f t="shared" si="1"/>
        <v>1</v>
      </c>
      <c r="AD13" s="118">
        <f t="shared" si="1"/>
        <v>0.48717948717948717</v>
      </c>
      <c r="AE13" s="118">
        <f t="shared" si="1"/>
        <v>0.9736842105263158</v>
      </c>
      <c r="AF13" s="118">
        <f t="shared" si="1"/>
        <v>0.8486486486486486</v>
      </c>
      <c r="AG13" s="118">
        <f t="shared" si="1"/>
        <v>0.9872611464968153</v>
      </c>
      <c r="AH13" s="118">
        <f t="shared" si="1"/>
        <v>1.1838709677419355</v>
      </c>
      <c r="AI13" s="118">
        <f t="shared" si="1"/>
        <v>1.2534059945504088</v>
      </c>
      <c r="AJ13" s="118">
        <f t="shared" si="1"/>
        <v>1.1304347826086956</v>
      </c>
      <c r="AK13" s="118">
        <f t="shared" si="1"/>
        <v>0.4807692307692308</v>
      </c>
    </row>
    <row r="14" spans="1:37" ht="39.75" customHeight="1">
      <c r="A14" s="43" t="s">
        <v>12</v>
      </c>
      <c r="B14" s="34" t="s">
        <v>96</v>
      </c>
      <c r="C14" s="10">
        <v>34653</v>
      </c>
      <c r="D14" s="10">
        <f>C14*1</f>
        <v>34653</v>
      </c>
      <c r="E14" s="10">
        <f aca="true" t="shared" si="10" ref="E14:L14">D14*1</f>
        <v>34653</v>
      </c>
      <c r="F14" s="10">
        <f t="shared" si="10"/>
        <v>34653</v>
      </c>
      <c r="G14" s="10">
        <f t="shared" si="10"/>
        <v>34653</v>
      </c>
      <c r="H14" s="10">
        <f t="shared" si="10"/>
        <v>34653</v>
      </c>
      <c r="I14" s="10">
        <f t="shared" si="10"/>
        <v>34653</v>
      </c>
      <c r="J14" s="10">
        <f t="shared" si="10"/>
        <v>34653</v>
      </c>
      <c r="K14" s="10">
        <f t="shared" si="10"/>
        <v>34653</v>
      </c>
      <c r="L14" s="19">
        <f t="shared" si="10"/>
        <v>34653</v>
      </c>
      <c r="M14" s="19">
        <f aca="true" t="shared" si="11" ref="M14:S14">L14*1</f>
        <v>34653</v>
      </c>
      <c r="N14" s="19">
        <f t="shared" si="11"/>
        <v>34653</v>
      </c>
      <c r="O14" s="19">
        <f t="shared" si="11"/>
        <v>34653</v>
      </c>
      <c r="P14" s="19">
        <f t="shared" si="11"/>
        <v>34653</v>
      </c>
      <c r="Q14" s="19">
        <f t="shared" si="11"/>
        <v>34653</v>
      </c>
      <c r="R14" s="19">
        <f t="shared" si="11"/>
        <v>34653</v>
      </c>
      <c r="S14" s="10">
        <f t="shared" si="11"/>
        <v>34653</v>
      </c>
      <c r="T14" s="43" t="s">
        <v>12</v>
      </c>
      <c r="U14" s="34" t="s">
        <v>96</v>
      </c>
      <c r="V14" s="118">
        <f t="shared" si="4"/>
        <v>1</v>
      </c>
      <c r="W14" s="118">
        <f t="shared" si="1"/>
        <v>1</v>
      </c>
      <c r="X14" s="118">
        <f t="shared" si="1"/>
        <v>1</v>
      </c>
      <c r="Y14" s="118">
        <f t="shared" si="1"/>
        <v>1</v>
      </c>
      <c r="Z14" s="118">
        <f t="shared" si="1"/>
        <v>1</v>
      </c>
      <c r="AA14" s="118">
        <f t="shared" si="1"/>
        <v>1</v>
      </c>
      <c r="AB14" s="118">
        <f t="shared" si="1"/>
        <v>1</v>
      </c>
      <c r="AC14" s="118">
        <f t="shared" si="1"/>
        <v>1</v>
      </c>
      <c r="AD14" s="118">
        <f t="shared" si="1"/>
        <v>1</v>
      </c>
      <c r="AE14" s="118">
        <f t="shared" si="1"/>
        <v>1</v>
      </c>
      <c r="AF14" s="118">
        <f t="shared" si="1"/>
        <v>1</v>
      </c>
      <c r="AG14" s="118">
        <f t="shared" si="1"/>
        <v>1</v>
      </c>
      <c r="AH14" s="118">
        <f t="shared" si="1"/>
        <v>1</v>
      </c>
      <c r="AI14" s="118">
        <f t="shared" si="1"/>
        <v>1</v>
      </c>
      <c r="AJ14" s="118">
        <f t="shared" si="1"/>
        <v>1</v>
      </c>
      <c r="AK14" s="118">
        <f t="shared" si="1"/>
        <v>1</v>
      </c>
    </row>
    <row r="15" spans="1:37" ht="26.25" customHeight="1">
      <c r="A15" s="43" t="s">
        <v>13</v>
      </c>
      <c r="B15" s="44" t="s">
        <v>115</v>
      </c>
      <c r="C15" s="10">
        <f>(8130488+985-1400-679262-2225780)</f>
        <v>5225031</v>
      </c>
      <c r="D15" s="10">
        <f>(8422882-2629412-259374)</f>
        <v>5534096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115</v>
      </c>
      <c r="V15" s="104" t="s">
        <v>139</v>
      </c>
      <c r="W15" s="104"/>
      <c r="X15" s="104"/>
      <c r="Y15" s="104"/>
      <c r="Z15" s="104"/>
      <c r="AA15" s="104"/>
      <c r="AB15" s="104"/>
      <c r="AC15" s="104"/>
      <c r="AD15" s="104"/>
      <c r="AE15" s="107"/>
      <c r="AF15" s="107"/>
      <c r="AG15" s="107"/>
      <c r="AH15" s="107"/>
      <c r="AI15" s="107"/>
      <c r="AJ15" s="107"/>
      <c r="AK15" s="107"/>
    </row>
    <row r="16" spans="1:37" ht="28.5" customHeight="1">
      <c r="A16" s="41" t="s">
        <v>101</v>
      </c>
      <c r="B16" s="42" t="s">
        <v>6</v>
      </c>
      <c r="C16" s="24">
        <f>C18+C47</f>
        <v>101976685</v>
      </c>
      <c r="D16" s="24">
        <f aca="true" t="shared" si="12" ref="D16:S16">D20+D47+D36</f>
        <v>102352604.38</v>
      </c>
      <c r="E16" s="24">
        <f t="shared" si="12"/>
        <v>92916147.21239999</v>
      </c>
      <c r="F16" s="24">
        <f t="shared" si="12"/>
        <v>92225808.68452398</v>
      </c>
      <c r="G16" s="24">
        <f t="shared" si="12"/>
        <v>94429066.77136922</v>
      </c>
      <c r="H16" s="24">
        <f t="shared" si="12"/>
        <v>95371007.4390829</v>
      </c>
      <c r="I16" s="24">
        <f t="shared" si="12"/>
        <v>99456717.51347373</v>
      </c>
      <c r="J16" s="24">
        <f t="shared" si="12"/>
        <v>101351284.68860847</v>
      </c>
      <c r="K16" s="24">
        <f t="shared" si="12"/>
        <v>103254797.53549455</v>
      </c>
      <c r="L16" s="69">
        <f t="shared" si="12"/>
        <v>103167345.51084949</v>
      </c>
      <c r="M16" s="69">
        <f t="shared" si="12"/>
        <v>105089018.96595798</v>
      </c>
      <c r="N16" s="69">
        <f t="shared" si="12"/>
        <v>106019909.15561756</v>
      </c>
      <c r="O16" s="69">
        <f t="shared" si="12"/>
        <v>108430207.79295182</v>
      </c>
      <c r="P16" s="69">
        <f t="shared" si="12"/>
        <v>110861660.9098461</v>
      </c>
      <c r="Q16" s="69">
        <f t="shared" si="12"/>
        <v>114314585.82349378</v>
      </c>
      <c r="R16" s="69">
        <f t="shared" si="12"/>
        <v>117789304.61084618</v>
      </c>
      <c r="S16" s="24">
        <f t="shared" si="12"/>
        <v>117286144.18000886</v>
      </c>
      <c r="T16" s="41" t="s">
        <v>101</v>
      </c>
      <c r="U16" s="42" t="s">
        <v>6</v>
      </c>
      <c r="V16" s="119">
        <f>D16/C16</f>
        <v>1.003686326732429</v>
      </c>
      <c r="W16" s="119">
        <f aca="true" t="shared" si="13" ref="W16:AK16">E16/D16</f>
        <v>0.9078044254490517</v>
      </c>
      <c r="X16" s="119">
        <f t="shared" si="13"/>
        <v>0.9925703061460572</v>
      </c>
      <c r="Y16" s="119">
        <f t="shared" si="13"/>
        <v>1.0238898212796583</v>
      </c>
      <c r="Z16" s="119">
        <f t="shared" si="13"/>
        <v>1.0099751135949941</v>
      </c>
      <c r="AA16" s="119">
        <f t="shared" si="13"/>
        <v>1.042840168979032</v>
      </c>
      <c r="AB16" s="119">
        <f t="shared" si="13"/>
        <v>1.019049162515122</v>
      </c>
      <c r="AC16" s="119">
        <f t="shared" si="13"/>
        <v>1.0187813391091631</v>
      </c>
      <c r="AD16" s="119">
        <f t="shared" si="13"/>
        <v>0.9991530463791283</v>
      </c>
      <c r="AE16" s="119">
        <f t="shared" si="13"/>
        <v>1.0186267606827821</v>
      </c>
      <c r="AF16" s="119">
        <f t="shared" si="13"/>
        <v>1.008858110950309</v>
      </c>
      <c r="AG16" s="119">
        <f t="shared" si="13"/>
        <v>1.0227343963650863</v>
      </c>
      <c r="AH16" s="119">
        <f t="shared" si="13"/>
        <v>1.0224241303819794</v>
      </c>
      <c r="AI16" s="119">
        <f t="shared" si="13"/>
        <v>1.031146249165937</v>
      </c>
      <c r="AJ16" s="119">
        <f t="shared" si="13"/>
        <v>1.030396110542862</v>
      </c>
      <c r="AK16" s="119">
        <f t="shared" si="13"/>
        <v>0.9957283012027309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3"/>
      <c r="M17" s="85"/>
      <c r="N17" s="85"/>
      <c r="O17" s="85"/>
      <c r="P17" s="86"/>
      <c r="Q17" s="85"/>
      <c r="R17" s="85"/>
      <c r="S17" s="85"/>
      <c r="T17" s="45"/>
      <c r="U17" s="46" t="s">
        <v>0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7"/>
      <c r="AF17" s="107"/>
      <c r="AG17" s="107"/>
      <c r="AH17" s="107"/>
      <c r="AI17" s="107"/>
      <c r="AJ17" s="107"/>
      <c r="AK17" s="107"/>
    </row>
    <row r="18" spans="1:37" ht="12.75" customHeight="1">
      <c r="A18" s="47" t="s">
        <v>127</v>
      </c>
      <c r="B18" s="44" t="s">
        <v>100</v>
      </c>
      <c r="C18" s="9">
        <f>(86591006+56119-251804-19640+277000+46720+176737+900-25000)</f>
        <v>86852038</v>
      </c>
      <c r="D18" s="9">
        <f>C18*1.01</f>
        <v>87720558.38</v>
      </c>
      <c r="E18" s="9">
        <f>D18*0.98</f>
        <v>85966147.21239999</v>
      </c>
      <c r="F18" s="9">
        <f>E18*1.01</f>
        <v>86825808.68452398</v>
      </c>
      <c r="G18" s="9">
        <f aca="true" t="shared" si="14" ref="G18:N18">F18*1.01</f>
        <v>87694066.77136922</v>
      </c>
      <c r="H18" s="9">
        <f t="shared" si="14"/>
        <v>88571007.4390829</v>
      </c>
      <c r="I18" s="9">
        <f t="shared" si="14"/>
        <v>89456717.51347373</v>
      </c>
      <c r="J18" s="9">
        <f t="shared" si="14"/>
        <v>90351284.68860847</v>
      </c>
      <c r="K18" s="9">
        <f t="shared" si="14"/>
        <v>91254797.53549455</v>
      </c>
      <c r="L18" s="9">
        <f t="shared" si="14"/>
        <v>92167345.51084949</v>
      </c>
      <c r="M18" s="9">
        <f t="shared" si="14"/>
        <v>93089018.96595798</v>
      </c>
      <c r="N18" s="9">
        <f t="shared" si="14"/>
        <v>94019909.15561756</v>
      </c>
      <c r="O18" s="9">
        <f>N18*1.015</f>
        <v>95430207.79295182</v>
      </c>
      <c r="P18" s="9">
        <f>O18*1.015</f>
        <v>96861660.9098461</v>
      </c>
      <c r="Q18" s="9">
        <f>P18*1.015</f>
        <v>98314585.82349378</v>
      </c>
      <c r="R18" s="9">
        <f>Q18*1.015</f>
        <v>99789304.61084618</v>
      </c>
      <c r="S18" s="9">
        <f>R18*1.015</f>
        <v>101286144.18000886</v>
      </c>
      <c r="T18" s="47" t="s">
        <v>127</v>
      </c>
      <c r="U18" s="44" t="s">
        <v>100</v>
      </c>
      <c r="V18" s="118">
        <f>D18/C18</f>
        <v>1.01</v>
      </c>
      <c r="W18" s="118">
        <f aca="true" t="shared" si="15" ref="W18:AK19">E18/D18</f>
        <v>0.98</v>
      </c>
      <c r="X18" s="118">
        <f t="shared" si="15"/>
        <v>1.01</v>
      </c>
      <c r="Y18" s="118">
        <f t="shared" si="15"/>
        <v>1.01</v>
      </c>
      <c r="Z18" s="118">
        <f t="shared" si="15"/>
        <v>1.01</v>
      </c>
      <c r="AA18" s="118">
        <f t="shared" si="15"/>
        <v>1.01</v>
      </c>
      <c r="AB18" s="118">
        <f t="shared" si="15"/>
        <v>1.01</v>
      </c>
      <c r="AC18" s="118">
        <f t="shared" si="15"/>
        <v>1.01</v>
      </c>
      <c r="AD18" s="118">
        <f t="shared" si="15"/>
        <v>1.01</v>
      </c>
      <c r="AE18" s="118">
        <f t="shared" si="15"/>
        <v>1.01</v>
      </c>
      <c r="AF18" s="118">
        <f t="shared" si="15"/>
        <v>1.01</v>
      </c>
      <c r="AG18" s="118">
        <f t="shared" si="15"/>
        <v>1.015</v>
      </c>
      <c r="AH18" s="118">
        <f t="shared" si="15"/>
        <v>1.015</v>
      </c>
      <c r="AI18" s="118">
        <f t="shared" si="15"/>
        <v>1.015</v>
      </c>
      <c r="AJ18" s="118">
        <f t="shared" si="15"/>
        <v>1.015</v>
      </c>
      <c r="AK18" s="118">
        <f t="shared" si="15"/>
        <v>1.015</v>
      </c>
    </row>
    <row r="19" spans="1:37" s="23" customFormat="1" ht="14.25" customHeight="1">
      <c r="A19" s="47"/>
      <c r="B19" s="48" t="s">
        <v>128</v>
      </c>
      <c r="C19" s="21">
        <f aca="true" t="shared" si="16" ref="C19:H19">C8+C13-C18</f>
        <v>4216061</v>
      </c>
      <c r="D19" s="21">
        <f t="shared" si="16"/>
        <v>3729816.4099999964</v>
      </c>
      <c r="E19" s="21">
        <f t="shared" si="16"/>
        <v>8090030.555100024</v>
      </c>
      <c r="F19" s="21">
        <f t="shared" si="16"/>
        <v>9511823.192971006</v>
      </c>
      <c r="G19" s="21">
        <f t="shared" si="16"/>
        <v>9105081.450481206</v>
      </c>
      <c r="H19" s="21">
        <f t="shared" si="16"/>
        <v>10717765.091078117</v>
      </c>
      <c r="I19" s="21">
        <f aca="true" t="shared" si="17" ref="I19:S19">I8+I13-I18</f>
        <v>12950318.224602833</v>
      </c>
      <c r="J19" s="21">
        <f t="shared" si="17"/>
        <v>13653194.399115056</v>
      </c>
      <c r="K19" s="21">
        <f t="shared" si="17"/>
        <v>14426856.795217752</v>
      </c>
      <c r="L19" s="74">
        <f t="shared" si="17"/>
        <v>13221778.424323693</v>
      </c>
      <c r="M19" s="74">
        <f t="shared" si="17"/>
        <v>13988442.330943793</v>
      </c>
      <c r="N19" s="74">
        <f t="shared" si="17"/>
        <v>14547341.7990776</v>
      </c>
      <c r="O19" s="74">
        <f t="shared" si="17"/>
        <v>14918881.017011166</v>
      </c>
      <c r="P19" s="74">
        <f t="shared" si="17"/>
        <v>15606921.440851793</v>
      </c>
      <c r="Q19" s="74">
        <f t="shared" si="17"/>
        <v>16486765.056399077</v>
      </c>
      <c r="R19" s="74">
        <f t="shared" si="17"/>
        <v>17213721.137647346</v>
      </c>
      <c r="S19" s="21">
        <f t="shared" si="17"/>
        <v>16303106.412967384</v>
      </c>
      <c r="T19" s="47"/>
      <c r="U19" s="48" t="s">
        <v>128</v>
      </c>
      <c r="V19" s="118">
        <f>D19/C19</f>
        <v>0.8846685116747591</v>
      </c>
      <c r="W19" s="118">
        <f t="shared" si="15"/>
        <v>2.169015754611909</v>
      </c>
      <c r="X19" s="118">
        <f t="shared" si="15"/>
        <v>1.1757462630316855</v>
      </c>
      <c r="Y19" s="118">
        <f t="shared" si="15"/>
        <v>0.9572382986691372</v>
      </c>
      <c r="Z19" s="118">
        <f t="shared" si="15"/>
        <v>1.1771190789854693</v>
      </c>
      <c r="AA19" s="118">
        <f t="shared" si="15"/>
        <v>1.2083039807789013</v>
      </c>
      <c r="AB19" s="118">
        <f t="shared" si="15"/>
        <v>1.054274818759041</v>
      </c>
      <c r="AC19" s="118">
        <f t="shared" si="15"/>
        <v>1.0566653028944524</v>
      </c>
      <c r="AD19" s="118">
        <f t="shared" si="15"/>
        <v>0.916469790474837</v>
      </c>
      <c r="AE19" s="118">
        <f t="shared" si="15"/>
        <v>1.0579849307722244</v>
      </c>
      <c r="AF19" s="118">
        <f t="shared" si="15"/>
        <v>1.0399543748268145</v>
      </c>
      <c r="AG19" s="118">
        <f t="shared" si="15"/>
        <v>1.0255400074505105</v>
      </c>
      <c r="AH19" s="118">
        <f t="shared" si="15"/>
        <v>1.0461187687639637</v>
      </c>
      <c r="AI19" s="118">
        <f t="shared" si="15"/>
        <v>1.056375219089926</v>
      </c>
      <c r="AJ19" s="118">
        <f t="shared" si="15"/>
        <v>1.0440933123485079</v>
      </c>
      <c r="AK19" s="118">
        <f t="shared" si="15"/>
        <v>0.9470994843358768</v>
      </c>
    </row>
    <row r="20" spans="1:37" ht="32.25" customHeight="1">
      <c r="A20" s="41" t="s">
        <v>92</v>
      </c>
      <c r="B20" s="42" t="s">
        <v>83</v>
      </c>
      <c r="C20" s="25">
        <f aca="true" t="shared" si="18" ref="C20:S20">C18-C36</f>
        <v>84915838</v>
      </c>
      <c r="D20" s="14">
        <f t="shared" si="18"/>
        <v>85439328.38</v>
      </c>
      <c r="E20" s="14">
        <f t="shared" si="18"/>
        <v>84018284.21239999</v>
      </c>
      <c r="F20" s="14">
        <f t="shared" si="18"/>
        <v>85034812.68452398</v>
      </c>
      <c r="G20" s="14">
        <f t="shared" si="18"/>
        <v>86063112.77136922</v>
      </c>
      <c r="H20" s="14">
        <f t="shared" si="18"/>
        <v>87099513.4390829</v>
      </c>
      <c r="I20" s="14">
        <f t="shared" si="18"/>
        <v>88129754.51347373</v>
      </c>
      <c r="J20" s="14">
        <f t="shared" si="18"/>
        <v>89179321.68860847</v>
      </c>
      <c r="K20" s="14">
        <f t="shared" si="18"/>
        <v>90211647.53549455</v>
      </c>
      <c r="L20" s="33">
        <f t="shared" si="18"/>
        <v>91253026.51084949</v>
      </c>
      <c r="M20" s="33">
        <f t="shared" si="18"/>
        <v>92295174.96595798</v>
      </c>
      <c r="N20" s="33">
        <f t="shared" si="18"/>
        <v>93347936.15561756</v>
      </c>
      <c r="O20" s="33">
        <f t="shared" si="18"/>
        <v>94842774.79295182</v>
      </c>
      <c r="P20" s="33">
        <f t="shared" si="18"/>
        <v>96361760.9098461</v>
      </c>
      <c r="Q20" s="33">
        <f t="shared" si="18"/>
        <v>97878385.82349378</v>
      </c>
      <c r="R20" s="33">
        <f t="shared" si="18"/>
        <v>99353104.61084618</v>
      </c>
      <c r="S20" s="14">
        <f t="shared" si="18"/>
        <v>100849944.18000886</v>
      </c>
      <c r="T20" s="41" t="s">
        <v>92</v>
      </c>
      <c r="U20" s="42" t="s">
        <v>83</v>
      </c>
      <c r="V20" s="119">
        <f>D21/C21</f>
        <v>1.01</v>
      </c>
      <c r="W20" s="119">
        <f aca="true" t="shared" si="19" ref="W20:AK20">E21/D21</f>
        <v>1.01</v>
      </c>
      <c r="X20" s="119">
        <f t="shared" si="19"/>
        <v>1.02</v>
      </c>
      <c r="Y20" s="119">
        <f t="shared" si="19"/>
        <v>1.02</v>
      </c>
      <c r="Z20" s="119">
        <f t="shared" si="19"/>
        <v>1.02</v>
      </c>
      <c r="AA20" s="119">
        <f t="shared" si="19"/>
        <v>1.02</v>
      </c>
      <c r="AB20" s="119">
        <f t="shared" si="19"/>
        <v>1.02</v>
      </c>
      <c r="AC20" s="119">
        <f t="shared" si="19"/>
        <v>1.02</v>
      </c>
      <c r="AD20" s="119">
        <f t="shared" si="19"/>
        <v>1.02</v>
      </c>
      <c r="AE20" s="119">
        <f t="shared" si="19"/>
        <v>1.02</v>
      </c>
      <c r="AF20" s="119">
        <f t="shared" si="19"/>
        <v>1.02</v>
      </c>
      <c r="AG20" s="119">
        <f t="shared" si="19"/>
        <v>1.02</v>
      </c>
      <c r="AH20" s="119">
        <f t="shared" si="19"/>
        <v>1.02</v>
      </c>
      <c r="AI20" s="119">
        <f t="shared" si="19"/>
        <v>1.02</v>
      </c>
      <c r="AJ20" s="119">
        <f t="shared" si="19"/>
        <v>1.02</v>
      </c>
      <c r="AK20" s="119">
        <f t="shared" si="19"/>
        <v>1.02</v>
      </c>
    </row>
    <row r="21" spans="1:37" ht="25.5" customHeight="1">
      <c r="A21" s="43" t="s">
        <v>14</v>
      </c>
      <c r="B21" s="44" t="s">
        <v>17</v>
      </c>
      <c r="C21" s="10">
        <f>(39205764-251804)</f>
        <v>38953960</v>
      </c>
      <c r="D21" s="12">
        <f>C21*1.01</f>
        <v>39343499.6</v>
      </c>
      <c r="E21" s="12">
        <f>D21*1.01</f>
        <v>39736934.596</v>
      </c>
      <c r="F21" s="12">
        <f aca="true" t="shared" si="20" ref="F21:L21">E21*1.02</f>
        <v>40531673.28792</v>
      </c>
      <c r="G21" s="12">
        <f t="shared" si="20"/>
        <v>41342306.7536784</v>
      </c>
      <c r="H21" s="12">
        <f t="shared" si="20"/>
        <v>42169152.88875196</v>
      </c>
      <c r="I21" s="12">
        <f t="shared" si="20"/>
        <v>43012535.946527004</v>
      </c>
      <c r="J21" s="12">
        <f t="shared" si="20"/>
        <v>43872786.66545755</v>
      </c>
      <c r="K21" s="12">
        <f t="shared" si="20"/>
        <v>44750242.3987667</v>
      </c>
      <c r="L21" s="71">
        <f t="shared" si="20"/>
        <v>45645247.24674203</v>
      </c>
      <c r="M21" s="71">
        <f aca="true" t="shared" si="21" ref="M21:S22">L21*1.02</f>
        <v>46558152.19167688</v>
      </c>
      <c r="N21" s="71">
        <f t="shared" si="21"/>
        <v>47489315.23551042</v>
      </c>
      <c r="O21" s="71">
        <f t="shared" si="21"/>
        <v>48439101.540220626</v>
      </c>
      <c r="P21" s="71">
        <f t="shared" si="21"/>
        <v>49407883.57102504</v>
      </c>
      <c r="Q21" s="71">
        <f t="shared" si="21"/>
        <v>50396041.242445536</v>
      </c>
      <c r="R21" s="71">
        <f t="shared" si="21"/>
        <v>51403962.06729445</v>
      </c>
      <c r="S21" s="12">
        <f t="shared" si="21"/>
        <v>52432041.30864034</v>
      </c>
      <c r="T21" s="43" t="s">
        <v>14</v>
      </c>
      <c r="U21" s="44" t="s">
        <v>17</v>
      </c>
      <c r="V21" s="118">
        <f>D21/C21</f>
        <v>1.01</v>
      </c>
      <c r="W21" s="118">
        <f aca="true" t="shared" si="22" ref="W21:AK22">E21/D21</f>
        <v>1.01</v>
      </c>
      <c r="X21" s="118">
        <f t="shared" si="22"/>
        <v>1.02</v>
      </c>
      <c r="Y21" s="118">
        <f t="shared" si="22"/>
        <v>1.02</v>
      </c>
      <c r="Z21" s="118">
        <f t="shared" si="22"/>
        <v>1.02</v>
      </c>
      <c r="AA21" s="118">
        <f t="shared" si="22"/>
        <v>1.02</v>
      </c>
      <c r="AB21" s="118">
        <f t="shared" si="22"/>
        <v>1.02</v>
      </c>
      <c r="AC21" s="118">
        <f t="shared" si="22"/>
        <v>1.02</v>
      </c>
      <c r="AD21" s="118">
        <f t="shared" si="22"/>
        <v>1.02</v>
      </c>
      <c r="AE21" s="118">
        <f t="shared" si="22"/>
        <v>1.02</v>
      </c>
      <c r="AF21" s="118">
        <f t="shared" si="22"/>
        <v>1.02</v>
      </c>
      <c r="AG21" s="118">
        <f t="shared" si="22"/>
        <v>1.02</v>
      </c>
      <c r="AH21" s="118">
        <f t="shared" si="22"/>
        <v>1.02</v>
      </c>
      <c r="AI21" s="118">
        <f t="shared" si="22"/>
        <v>1.02</v>
      </c>
      <c r="AJ21" s="118">
        <f t="shared" si="22"/>
        <v>1.02</v>
      </c>
      <c r="AK21" s="118">
        <f t="shared" si="22"/>
        <v>1.02</v>
      </c>
    </row>
    <row r="22" spans="1:37" ht="28.5" customHeight="1">
      <c r="A22" s="43" t="s">
        <v>15</v>
      </c>
      <c r="B22" s="44" t="s">
        <v>16</v>
      </c>
      <c r="C22" s="10">
        <f>1781013</f>
        <v>1781013</v>
      </c>
      <c r="D22" s="12">
        <f>C22*1.02</f>
        <v>1816633.26</v>
      </c>
      <c r="E22" s="12">
        <f aca="true" t="shared" si="23" ref="E22:L22">D22*1.02</f>
        <v>1852965.9252</v>
      </c>
      <c r="F22" s="12">
        <f t="shared" si="23"/>
        <v>1890025.243704</v>
      </c>
      <c r="G22" s="12">
        <f t="shared" si="23"/>
        <v>1927825.74857808</v>
      </c>
      <c r="H22" s="12">
        <f t="shared" si="23"/>
        <v>1966382.2635496417</v>
      </c>
      <c r="I22" s="12">
        <f t="shared" si="23"/>
        <v>2005709.9088206345</v>
      </c>
      <c r="J22" s="12">
        <f t="shared" si="23"/>
        <v>2045824.106997047</v>
      </c>
      <c r="K22" s="12">
        <f t="shared" si="23"/>
        <v>2086740.5891369882</v>
      </c>
      <c r="L22" s="71">
        <f t="shared" si="23"/>
        <v>2128475.400919728</v>
      </c>
      <c r="M22" s="71">
        <f t="shared" si="21"/>
        <v>2171044.9089381224</v>
      </c>
      <c r="N22" s="71">
        <f t="shared" si="21"/>
        <v>2214465.8071168847</v>
      </c>
      <c r="O22" s="71">
        <f t="shared" si="21"/>
        <v>2258755.1232592226</v>
      </c>
      <c r="P22" s="71">
        <f t="shared" si="21"/>
        <v>2303930.225724407</v>
      </c>
      <c r="Q22" s="71">
        <f t="shared" si="21"/>
        <v>2350008.830238895</v>
      </c>
      <c r="R22" s="71">
        <f t="shared" si="21"/>
        <v>2397009.006843673</v>
      </c>
      <c r="S22" s="12">
        <f t="shared" si="21"/>
        <v>2444949.1869805465</v>
      </c>
      <c r="T22" s="43" t="s">
        <v>15</v>
      </c>
      <c r="U22" s="44" t="s">
        <v>16</v>
      </c>
      <c r="V22" s="118">
        <f>D22/C22</f>
        <v>1.02</v>
      </c>
      <c r="W22" s="118">
        <f t="shared" si="22"/>
        <v>1.02</v>
      </c>
      <c r="X22" s="118">
        <f t="shared" si="22"/>
        <v>1.02</v>
      </c>
      <c r="Y22" s="118">
        <f t="shared" si="22"/>
        <v>1.02</v>
      </c>
      <c r="Z22" s="118">
        <f t="shared" si="22"/>
        <v>1.02</v>
      </c>
      <c r="AA22" s="118">
        <f t="shared" si="22"/>
        <v>1.02</v>
      </c>
      <c r="AB22" s="118">
        <f t="shared" si="22"/>
        <v>1.02</v>
      </c>
      <c r="AC22" s="118">
        <f t="shared" si="22"/>
        <v>1.02</v>
      </c>
      <c r="AD22" s="118">
        <f t="shared" si="22"/>
        <v>1.02</v>
      </c>
      <c r="AE22" s="118">
        <f t="shared" si="22"/>
        <v>1.02</v>
      </c>
      <c r="AF22" s="118">
        <f t="shared" si="22"/>
        <v>1.02</v>
      </c>
      <c r="AG22" s="118">
        <f t="shared" si="22"/>
        <v>1.02</v>
      </c>
      <c r="AH22" s="118">
        <f t="shared" si="22"/>
        <v>1.02</v>
      </c>
      <c r="AI22" s="118">
        <f t="shared" si="22"/>
        <v>1.02</v>
      </c>
      <c r="AJ22" s="118">
        <f t="shared" si="22"/>
        <v>1.02</v>
      </c>
      <c r="AK22" s="118">
        <f t="shared" si="22"/>
        <v>1.02</v>
      </c>
    </row>
    <row r="23" spans="1:37" ht="52.5" customHeight="1">
      <c r="A23" s="43" t="s">
        <v>18</v>
      </c>
      <c r="B23" s="44" t="s">
        <v>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0">
        <v>0</v>
      </c>
      <c r="T23" s="43" t="s">
        <v>18</v>
      </c>
      <c r="U23" s="44" t="s">
        <v>80</v>
      </c>
      <c r="V23" s="104"/>
      <c r="W23" s="104"/>
      <c r="X23" s="104"/>
      <c r="Y23" s="104"/>
      <c r="Z23" s="104"/>
      <c r="AA23" s="104"/>
      <c r="AB23" s="104"/>
      <c r="AC23" s="104"/>
      <c r="AD23" s="104"/>
      <c r="AE23" s="107"/>
      <c r="AF23" s="107"/>
      <c r="AG23" s="107"/>
      <c r="AH23" s="107"/>
      <c r="AI23" s="107"/>
      <c r="AJ23" s="107"/>
      <c r="AK23" s="107"/>
    </row>
    <row r="24" spans="1:37" ht="39.75" customHeight="1">
      <c r="A24" s="152"/>
      <c r="B24" s="44" t="s">
        <v>84</v>
      </c>
      <c r="C24" s="10">
        <f>C23</f>
        <v>0</v>
      </c>
      <c r="D24" s="10">
        <f aca="true" t="shared" si="24" ref="D24:S24">D23</f>
        <v>0</v>
      </c>
      <c r="E24" s="10">
        <f t="shared" si="24"/>
        <v>0</v>
      </c>
      <c r="F24" s="10">
        <f t="shared" si="24"/>
        <v>0</v>
      </c>
      <c r="G24" s="10">
        <f t="shared" si="24"/>
        <v>0</v>
      </c>
      <c r="H24" s="10">
        <f t="shared" si="24"/>
        <v>0</v>
      </c>
      <c r="I24" s="10">
        <f t="shared" si="24"/>
        <v>0</v>
      </c>
      <c r="J24" s="10">
        <f t="shared" si="24"/>
        <v>0</v>
      </c>
      <c r="K24" s="10">
        <f t="shared" si="24"/>
        <v>0</v>
      </c>
      <c r="L24" s="19">
        <f t="shared" si="24"/>
        <v>0</v>
      </c>
      <c r="M24" s="19">
        <f t="shared" si="24"/>
        <v>0</v>
      </c>
      <c r="N24" s="19">
        <f t="shared" si="24"/>
        <v>0</v>
      </c>
      <c r="O24" s="19">
        <f t="shared" si="24"/>
        <v>0</v>
      </c>
      <c r="P24" s="19">
        <f t="shared" si="24"/>
        <v>0</v>
      </c>
      <c r="Q24" s="19">
        <f t="shared" si="24"/>
        <v>0</v>
      </c>
      <c r="R24" s="19">
        <f t="shared" si="24"/>
        <v>0</v>
      </c>
      <c r="S24" s="10">
        <f t="shared" si="24"/>
        <v>0</v>
      </c>
      <c r="T24" s="98"/>
      <c r="U24" s="44" t="s">
        <v>84</v>
      </c>
      <c r="V24" s="104"/>
      <c r="W24" s="104"/>
      <c r="X24" s="104"/>
      <c r="Y24" s="104"/>
      <c r="Z24" s="104"/>
      <c r="AA24" s="104"/>
      <c r="AB24" s="104"/>
      <c r="AC24" s="104"/>
      <c r="AD24" s="104"/>
      <c r="AE24" s="107"/>
      <c r="AF24" s="107"/>
      <c r="AG24" s="107"/>
      <c r="AH24" s="107"/>
      <c r="AI24" s="107"/>
      <c r="AJ24" s="107"/>
      <c r="AK24" s="107"/>
    </row>
    <row r="25" spans="1:37" ht="26.25" customHeight="1">
      <c r="A25" s="153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99"/>
      <c r="U25" s="44" t="s">
        <v>21</v>
      </c>
      <c r="V25" s="104"/>
      <c r="W25" s="104"/>
      <c r="X25" s="104"/>
      <c r="Y25" s="104"/>
      <c r="Z25" s="104"/>
      <c r="AA25" s="104"/>
      <c r="AB25" s="104"/>
      <c r="AC25" s="104"/>
      <c r="AD25" s="104"/>
      <c r="AE25" s="107"/>
      <c r="AF25" s="107"/>
      <c r="AG25" s="107"/>
      <c r="AH25" s="107"/>
      <c r="AI25" s="107"/>
      <c r="AJ25" s="107"/>
      <c r="AK25" s="107"/>
    </row>
    <row r="26" spans="1:37" ht="25.5" customHeight="1">
      <c r="A26" s="153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99"/>
      <c r="U26" s="44" t="s">
        <v>19</v>
      </c>
      <c r="V26" s="104"/>
      <c r="W26" s="104"/>
      <c r="X26" s="104"/>
      <c r="Y26" s="104"/>
      <c r="Z26" s="104"/>
      <c r="AA26" s="104"/>
      <c r="AB26" s="104"/>
      <c r="AC26" s="104"/>
      <c r="AD26" s="104"/>
      <c r="AE26" s="107"/>
      <c r="AF26" s="107"/>
      <c r="AG26" s="107"/>
      <c r="AH26" s="107"/>
      <c r="AI26" s="107"/>
      <c r="AJ26" s="107"/>
      <c r="AK26" s="107"/>
    </row>
    <row r="27" spans="1:37" ht="25.5" customHeight="1">
      <c r="A27" s="154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4"/>
      <c r="W27" s="104"/>
      <c r="X27" s="104"/>
      <c r="Y27" s="104"/>
      <c r="Z27" s="104"/>
      <c r="AA27" s="104"/>
      <c r="AB27" s="104"/>
      <c r="AC27" s="104"/>
      <c r="AD27" s="104"/>
      <c r="AE27" s="107"/>
      <c r="AF27" s="107"/>
      <c r="AG27" s="107"/>
      <c r="AH27" s="107"/>
      <c r="AI27" s="107"/>
      <c r="AJ27" s="107"/>
      <c r="AK27" s="107"/>
    </row>
    <row r="28" spans="1:37" ht="17.25" customHeight="1">
      <c r="A28" s="43" t="s">
        <v>22</v>
      </c>
      <c r="B28" s="44" t="s">
        <v>23</v>
      </c>
      <c r="C28" s="10">
        <f>C20-C21-C22-C23</f>
        <v>44180865</v>
      </c>
      <c r="D28" s="10">
        <f aca="true" t="shared" si="25" ref="D28:S28">D20-D21-D22-D23</f>
        <v>44279195.519999996</v>
      </c>
      <c r="E28" s="10">
        <f t="shared" si="25"/>
        <v>42428383.69119999</v>
      </c>
      <c r="F28" s="10">
        <f t="shared" si="25"/>
        <v>42613114.15289999</v>
      </c>
      <c r="G28" s="10">
        <f t="shared" si="25"/>
        <v>42792980.26911274</v>
      </c>
      <c r="H28" s="10">
        <f t="shared" si="25"/>
        <v>42963978.2867813</v>
      </c>
      <c r="I28" s="10">
        <f t="shared" si="25"/>
        <v>43111508.65812609</v>
      </c>
      <c r="J28" s="10">
        <f t="shared" si="25"/>
        <v>43260710.91615387</v>
      </c>
      <c r="K28" s="10">
        <f t="shared" si="25"/>
        <v>43374664.54759087</v>
      </c>
      <c r="L28" s="19">
        <f t="shared" si="25"/>
        <v>43479303.86318773</v>
      </c>
      <c r="M28" s="19">
        <f t="shared" si="25"/>
        <v>43565977.86534298</v>
      </c>
      <c r="N28" s="19">
        <f t="shared" si="25"/>
        <v>43644155.11299026</v>
      </c>
      <c r="O28" s="19">
        <f t="shared" si="25"/>
        <v>44144918.12947197</v>
      </c>
      <c r="P28" s="19">
        <f t="shared" si="25"/>
        <v>44649947.113096654</v>
      </c>
      <c r="Q28" s="19">
        <f t="shared" si="25"/>
        <v>45132335.75080935</v>
      </c>
      <c r="R28" s="19">
        <f t="shared" si="25"/>
        <v>45552133.53670806</v>
      </c>
      <c r="S28" s="123">
        <f t="shared" si="25"/>
        <v>45972953.684387974</v>
      </c>
      <c r="T28" s="43" t="s">
        <v>22</v>
      </c>
      <c r="U28" s="44" t="s">
        <v>23</v>
      </c>
      <c r="V28" s="118">
        <f>D28/C28</f>
        <v>1.0022256359172685</v>
      </c>
      <c r="W28" s="118">
        <f aca="true" t="shared" si="26" ref="W28:AK28">E28/D28</f>
        <v>0.9582013221544634</v>
      </c>
      <c r="X28" s="118">
        <f t="shared" si="26"/>
        <v>1.0043539358709608</v>
      </c>
      <c r="Y28" s="118">
        <f t="shared" si="26"/>
        <v>1.0042209099191244</v>
      </c>
      <c r="Z28" s="118">
        <f t="shared" si="26"/>
        <v>1.0039959361697457</v>
      </c>
      <c r="AA28" s="118">
        <f t="shared" si="26"/>
        <v>1.003433815424634</v>
      </c>
      <c r="AB28" s="118">
        <f t="shared" si="26"/>
        <v>1.0034608452051852</v>
      </c>
      <c r="AC28" s="118">
        <f t="shared" si="26"/>
        <v>1.0026341137032597</v>
      </c>
      <c r="AD28" s="118">
        <f t="shared" si="26"/>
        <v>1.0024124524463365</v>
      </c>
      <c r="AE28" s="118">
        <f t="shared" si="26"/>
        <v>1.0019934542288897</v>
      </c>
      <c r="AF28" s="118">
        <f t="shared" si="26"/>
        <v>1.001794456396432</v>
      </c>
      <c r="AG28" s="118">
        <f t="shared" si="26"/>
        <v>1.0114737704323817</v>
      </c>
      <c r="AH28" s="118">
        <f t="shared" si="26"/>
        <v>1.0114402519026877</v>
      </c>
      <c r="AI28" s="118">
        <f t="shared" si="26"/>
        <v>1.0108037896773052</v>
      </c>
      <c r="AJ28" s="118">
        <f t="shared" si="26"/>
        <v>1.0093014859283276</v>
      </c>
      <c r="AK28" s="118">
        <f t="shared" si="26"/>
        <v>1.0092382093879488</v>
      </c>
    </row>
    <row r="29" spans="1:37" ht="39.75" customHeight="1">
      <c r="A29" s="50" t="s">
        <v>25</v>
      </c>
      <c r="B29" s="42" t="s">
        <v>24</v>
      </c>
      <c r="C29" s="24">
        <f aca="true" t="shared" si="27" ref="C29:S29">C7-C20</f>
        <v>11411945</v>
      </c>
      <c r="D29" s="24">
        <f t="shared" si="27"/>
        <v>11579795.409999996</v>
      </c>
      <c r="E29" s="24">
        <f t="shared" si="27"/>
        <v>10717546.555100024</v>
      </c>
      <c r="F29" s="24">
        <f t="shared" si="27"/>
        <v>11337472.192971006</v>
      </c>
      <c r="G29" s="24">
        <f t="shared" si="27"/>
        <v>10770688.450481206</v>
      </c>
      <c r="H29" s="24">
        <f t="shared" si="27"/>
        <v>12223912.091078117</v>
      </c>
      <c r="I29" s="24">
        <f t="shared" si="27"/>
        <v>14311934.224602833</v>
      </c>
      <c r="J29" s="24">
        <f t="shared" si="27"/>
        <v>14859810.399115056</v>
      </c>
      <c r="K29" s="24">
        <f t="shared" si="27"/>
        <v>15504659.795217752</v>
      </c>
      <c r="L29" s="69">
        <f t="shared" si="27"/>
        <v>14170750.424323693</v>
      </c>
      <c r="M29" s="69">
        <f t="shared" si="27"/>
        <v>14816939.330943793</v>
      </c>
      <c r="N29" s="69">
        <f t="shared" si="27"/>
        <v>15253967.7990776</v>
      </c>
      <c r="O29" s="69">
        <f t="shared" si="27"/>
        <v>15540967.017011166</v>
      </c>
      <c r="P29" s="69">
        <f t="shared" si="27"/>
        <v>16141474.440851793</v>
      </c>
      <c r="Q29" s="69">
        <f t="shared" si="27"/>
        <v>16957618.056399077</v>
      </c>
      <c r="R29" s="69">
        <f t="shared" si="27"/>
        <v>17684574.137647346</v>
      </c>
      <c r="S29" s="24">
        <f t="shared" si="27"/>
        <v>16773959.412967384</v>
      </c>
      <c r="T29" s="157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</row>
    <row r="30" spans="1:37" ht="21" customHeight="1">
      <c r="A30" s="50" t="s">
        <v>27</v>
      </c>
      <c r="B30" s="42" t="s">
        <v>5</v>
      </c>
      <c r="C30" s="25">
        <f>C31+C32+C33</f>
        <v>2887616</v>
      </c>
      <c r="D30" s="25">
        <f>D31+D32+D33</f>
        <v>9700000</v>
      </c>
      <c r="E30" s="25">
        <f>E32</f>
        <v>1015049.4099999964</v>
      </c>
      <c r="F30" s="25">
        <f aca="true" t="shared" si="28" ref="F30:S30">F31+F32</f>
        <v>510062.96510002017</v>
      </c>
      <c r="G30" s="25">
        <f t="shared" si="28"/>
        <v>1719869.1580710262</v>
      </c>
      <c r="H30" s="25">
        <f t="shared" si="28"/>
        <v>1187933.6085522324</v>
      </c>
      <c r="I30" s="25">
        <f t="shared" si="28"/>
        <v>2203681.69963035</v>
      </c>
      <c r="J30" s="25">
        <f t="shared" si="28"/>
        <v>2251982.9242331833</v>
      </c>
      <c r="K30" s="25">
        <f t="shared" si="28"/>
        <v>2389360.323348239</v>
      </c>
      <c r="L30" s="25">
        <f t="shared" si="28"/>
        <v>2402400.1185659915</v>
      </c>
      <c r="M30" s="25">
        <f t="shared" si="28"/>
        <v>2210361.5428896844</v>
      </c>
      <c r="N30" s="25">
        <f t="shared" si="28"/>
        <v>1784986.8738334775</v>
      </c>
      <c r="O30" s="25">
        <f t="shared" si="28"/>
        <v>2381461.6729110777</v>
      </c>
      <c r="P30" s="25">
        <f t="shared" si="28"/>
        <v>2676475.6899222434</v>
      </c>
      <c r="Q30" s="25">
        <f t="shared" si="28"/>
        <v>2659508.130774036</v>
      </c>
      <c r="R30" s="37">
        <f t="shared" si="28"/>
        <v>3180926.187173113</v>
      </c>
      <c r="S30" s="25">
        <f t="shared" si="28"/>
        <v>2429300.324820459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2">
        <v>0</v>
      </c>
      <c r="T31" s="158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8" ht="16.5" customHeight="1">
      <c r="A32" s="49" t="s">
        <v>29</v>
      </c>
      <c r="B32" s="44" t="s">
        <v>119</v>
      </c>
      <c r="C32" s="10">
        <f>(1059010+41606+277000)</f>
        <v>1377616</v>
      </c>
      <c r="D32" s="10">
        <f>C56</f>
        <v>0</v>
      </c>
      <c r="E32" s="93">
        <f>D56</f>
        <v>1015049.4099999964</v>
      </c>
      <c r="F32" s="10">
        <f aca="true" t="shared" si="29" ref="F32:S32">E56</f>
        <v>510062.96510002017</v>
      </c>
      <c r="G32" s="10">
        <f t="shared" si="29"/>
        <v>1719869.1580710262</v>
      </c>
      <c r="H32" s="10">
        <f t="shared" si="29"/>
        <v>1187933.6085522324</v>
      </c>
      <c r="I32" s="10">
        <f t="shared" si="29"/>
        <v>2203681.69963035</v>
      </c>
      <c r="J32" s="10">
        <f t="shared" si="29"/>
        <v>2251982.9242331833</v>
      </c>
      <c r="K32" s="10">
        <f t="shared" si="29"/>
        <v>2389360.323348239</v>
      </c>
      <c r="L32" s="10">
        <f t="shared" si="29"/>
        <v>2402400.1185659915</v>
      </c>
      <c r="M32" s="10">
        <f t="shared" si="29"/>
        <v>2210361.5428896844</v>
      </c>
      <c r="N32" s="10">
        <f t="shared" si="29"/>
        <v>1784986.8738334775</v>
      </c>
      <c r="O32" s="10">
        <f t="shared" si="29"/>
        <v>2381461.6729110777</v>
      </c>
      <c r="P32" s="10">
        <f t="shared" si="29"/>
        <v>2676475.6899222434</v>
      </c>
      <c r="Q32" s="10">
        <f t="shared" si="29"/>
        <v>2659508.130774036</v>
      </c>
      <c r="R32" s="19">
        <f t="shared" si="29"/>
        <v>3180926.187173113</v>
      </c>
      <c r="S32" s="10">
        <f t="shared" si="29"/>
        <v>2429300.324820459</v>
      </c>
      <c r="T32" s="158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1:38" ht="40.5" customHeight="1">
      <c r="A33" s="49" t="s">
        <v>30</v>
      </c>
      <c r="B33" s="44" t="s">
        <v>147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58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</row>
    <row r="34" spans="1:38" ht="44.25" customHeight="1">
      <c r="A34" s="50" t="s">
        <v>31</v>
      </c>
      <c r="B34" s="42" t="s">
        <v>102</v>
      </c>
      <c r="C34" s="25">
        <f aca="true" t="shared" si="30" ref="C34:S34">C29+C30</f>
        <v>14299561</v>
      </c>
      <c r="D34" s="25">
        <f t="shared" si="30"/>
        <v>21279795.409999996</v>
      </c>
      <c r="E34" s="25">
        <f t="shared" si="30"/>
        <v>11732595.96510002</v>
      </c>
      <c r="F34" s="25">
        <f t="shared" si="30"/>
        <v>11847535.158071026</v>
      </c>
      <c r="G34" s="25">
        <f t="shared" si="30"/>
        <v>12490557.608552232</v>
      </c>
      <c r="H34" s="25">
        <f t="shared" si="30"/>
        <v>13411845.69963035</v>
      </c>
      <c r="I34" s="25">
        <f t="shared" si="30"/>
        <v>16515615.924233183</v>
      </c>
      <c r="J34" s="25">
        <f t="shared" si="30"/>
        <v>17111793.32334824</v>
      </c>
      <c r="K34" s="25">
        <f t="shared" si="30"/>
        <v>17894020.11856599</v>
      </c>
      <c r="L34" s="37">
        <f t="shared" si="30"/>
        <v>16573150.542889684</v>
      </c>
      <c r="M34" s="37">
        <f t="shared" si="30"/>
        <v>17027300.873833477</v>
      </c>
      <c r="N34" s="37">
        <f t="shared" si="30"/>
        <v>17038954.672911078</v>
      </c>
      <c r="O34" s="37">
        <f t="shared" si="30"/>
        <v>17922428.689922243</v>
      </c>
      <c r="P34" s="37">
        <f t="shared" si="30"/>
        <v>18817950.130774036</v>
      </c>
      <c r="Q34" s="37">
        <f t="shared" si="30"/>
        <v>19617126.187173113</v>
      </c>
      <c r="R34" s="37">
        <f t="shared" si="30"/>
        <v>20865500.32482046</v>
      </c>
      <c r="S34" s="124">
        <f t="shared" si="30"/>
        <v>19203259.737787843</v>
      </c>
      <c r="T34" s="134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  <row r="35" spans="1:37" ht="26.25" customHeight="1">
      <c r="A35" s="50" t="s">
        <v>32</v>
      </c>
      <c r="B35" s="42" t="s">
        <v>103</v>
      </c>
      <c r="C35" s="25">
        <f>C37+C41+C43</f>
        <v>3535914</v>
      </c>
      <c r="D35" s="25">
        <f>D37+D41+D43</f>
        <v>8902700</v>
      </c>
      <c r="E35" s="25">
        <f aca="true" t="shared" si="31" ref="E35:R35">E37+E41+E43</f>
        <v>4782533</v>
      </c>
      <c r="F35" s="25">
        <f t="shared" si="31"/>
        <v>4727666</v>
      </c>
      <c r="G35" s="25">
        <f t="shared" si="31"/>
        <v>4567624</v>
      </c>
      <c r="H35" s="25">
        <f t="shared" si="31"/>
        <v>4408164</v>
      </c>
      <c r="I35" s="25">
        <f t="shared" si="31"/>
        <v>4263633</v>
      </c>
      <c r="J35" s="25">
        <f>J37+J41+J43</f>
        <v>3722433</v>
      </c>
      <c r="K35" s="25">
        <f t="shared" si="31"/>
        <v>3491620</v>
      </c>
      <c r="L35" s="25">
        <f t="shared" si="31"/>
        <v>3362789</v>
      </c>
      <c r="M35" s="25">
        <f>M37+M41+M43</f>
        <v>3242314</v>
      </c>
      <c r="N35" s="25">
        <f t="shared" si="31"/>
        <v>2657493</v>
      </c>
      <c r="O35" s="25">
        <f>O37+O41+O43</f>
        <v>2245953</v>
      </c>
      <c r="P35" s="25">
        <f t="shared" si="31"/>
        <v>2158442</v>
      </c>
      <c r="Q35" s="25">
        <f>Q37+Q41+Q43</f>
        <v>436200</v>
      </c>
      <c r="R35" s="25">
        <f t="shared" si="31"/>
        <v>436200</v>
      </c>
      <c r="S35" s="25">
        <f>S37+S41+S43</f>
        <v>436200</v>
      </c>
      <c r="T35" s="134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104</v>
      </c>
      <c r="C36" s="10">
        <f>C37+C41</f>
        <v>1936200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2" ref="H36:M36">H37+H39+H41</f>
        <v>1471494</v>
      </c>
      <c r="I36" s="10">
        <f t="shared" si="32"/>
        <v>1326963</v>
      </c>
      <c r="J36" s="10">
        <f t="shared" si="32"/>
        <v>1171963</v>
      </c>
      <c r="K36" s="10">
        <f t="shared" si="32"/>
        <v>1043150</v>
      </c>
      <c r="L36" s="19">
        <f t="shared" si="32"/>
        <v>914319</v>
      </c>
      <c r="M36" s="19">
        <f t="shared" si="32"/>
        <v>793844</v>
      </c>
      <c r="N36" s="19">
        <f aca="true" t="shared" si="33" ref="N36:S36">N37+N39+N41</f>
        <v>671973</v>
      </c>
      <c r="O36" s="19">
        <f t="shared" si="33"/>
        <v>587433</v>
      </c>
      <c r="P36" s="19">
        <f t="shared" si="33"/>
        <v>499900</v>
      </c>
      <c r="Q36" s="19">
        <f t="shared" si="33"/>
        <v>436200</v>
      </c>
      <c r="R36" s="19">
        <f t="shared" si="33"/>
        <v>436200</v>
      </c>
      <c r="S36" s="10">
        <f t="shared" si="33"/>
        <v>436200</v>
      </c>
      <c r="T36" s="136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v>1500000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1">
        <v>478119</v>
      </c>
      <c r="M37" s="71">
        <v>357644</v>
      </c>
      <c r="N37" s="71">
        <v>235773</v>
      </c>
      <c r="O37" s="71">
        <v>151233</v>
      </c>
      <c r="P37" s="71">
        <v>63700</v>
      </c>
      <c r="Q37" s="71">
        <v>0</v>
      </c>
      <c r="R37" s="85">
        <v>0</v>
      </c>
      <c r="S37" s="85">
        <v>0</v>
      </c>
      <c r="T37" s="134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12">
        <v>0</v>
      </c>
      <c r="T38" s="136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48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48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</row>
    <row r="41" spans="1:19" ht="39" customHeight="1">
      <c r="A41" s="49" t="s">
        <v>36</v>
      </c>
      <c r="B41" s="44" t="s">
        <v>81</v>
      </c>
      <c r="C41" s="10">
        <v>436200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105</v>
      </c>
      <c r="C43" s="22">
        <v>1599714</v>
      </c>
      <c r="D43" s="26">
        <v>6621470</v>
      </c>
      <c r="E43" s="26">
        <v>2834670</v>
      </c>
      <c r="F43" s="26">
        <v>2936670</v>
      </c>
      <c r="G43" s="26">
        <v>2936670</v>
      </c>
      <c r="H43" s="26">
        <v>2936670</v>
      </c>
      <c r="I43" s="26">
        <v>2936670</v>
      </c>
      <c r="J43" s="26">
        <v>2550470</v>
      </c>
      <c r="K43" s="26">
        <v>2448470</v>
      </c>
      <c r="L43" s="26">
        <v>2448470</v>
      </c>
      <c r="M43" s="26">
        <v>2448470</v>
      </c>
      <c r="N43" s="75">
        <v>1985520</v>
      </c>
      <c r="O43" s="75">
        <v>1658520</v>
      </c>
      <c r="P43" s="75">
        <v>1658542</v>
      </c>
      <c r="Q43" s="75">
        <v>0</v>
      </c>
      <c r="R43" s="75">
        <v>0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149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106</v>
      </c>
      <c r="C46" s="25">
        <f aca="true" t="shared" si="34" ref="C46:S46">C34-C35-C45</f>
        <v>10763647</v>
      </c>
      <c r="D46" s="25">
        <f t="shared" si="34"/>
        <v>12377095.409999996</v>
      </c>
      <c r="E46" s="25">
        <f t="shared" si="34"/>
        <v>6950062.96510002</v>
      </c>
      <c r="F46" s="25">
        <f t="shared" si="34"/>
        <v>7119869.158071026</v>
      </c>
      <c r="G46" s="25">
        <f t="shared" si="34"/>
        <v>7922933.608552232</v>
      </c>
      <c r="H46" s="25">
        <f t="shared" si="34"/>
        <v>9003681.69963035</v>
      </c>
      <c r="I46" s="25">
        <f t="shared" si="34"/>
        <v>12251982.924233183</v>
      </c>
      <c r="J46" s="25">
        <f t="shared" si="34"/>
        <v>13389360.323348239</v>
      </c>
      <c r="K46" s="25">
        <f t="shared" si="34"/>
        <v>14402400.118565992</v>
      </c>
      <c r="L46" s="37">
        <f t="shared" si="34"/>
        <v>13210361.542889684</v>
      </c>
      <c r="M46" s="37">
        <f t="shared" si="34"/>
        <v>13784986.873833477</v>
      </c>
      <c r="N46" s="37">
        <f t="shared" si="34"/>
        <v>14381461.672911078</v>
      </c>
      <c r="O46" s="37">
        <f t="shared" si="34"/>
        <v>15676475.689922243</v>
      </c>
      <c r="P46" s="37">
        <f t="shared" si="34"/>
        <v>16659508.130774036</v>
      </c>
      <c r="Q46" s="37">
        <f t="shared" si="34"/>
        <v>19180926.187173113</v>
      </c>
      <c r="R46" s="37">
        <f t="shared" si="34"/>
        <v>20429300.32482046</v>
      </c>
      <c r="S46" s="25">
        <f t="shared" si="34"/>
        <v>18767059.737787843</v>
      </c>
    </row>
    <row r="47" spans="1:19" ht="22.5" customHeight="1">
      <c r="A47" s="41" t="s">
        <v>43</v>
      </c>
      <c r="B47" s="42" t="s">
        <v>8</v>
      </c>
      <c r="C47" s="25">
        <f>(18005104+985-1400-679262-2230580+25000+4800)</f>
        <v>15124647</v>
      </c>
      <c r="D47" s="14">
        <f>(17725472-3093426)</f>
        <v>14632046</v>
      </c>
      <c r="E47" s="14">
        <v>6950000</v>
      </c>
      <c r="F47" s="14">
        <f aca="true" t="shared" si="35" ref="F47:S47">F48+F52</f>
        <v>5400000</v>
      </c>
      <c r="G47" s="14">
        <f t="shared" si="35"/>
        <v>6735000</v>
      </c>
      <c r="H47" s="33">
        <f t="shared" si="35"/>
        <v>6800000</v>
      </c>
      <c r="I47" s="14">
        <f t="shared" si="35"/>
        <v>10000000</v>
      </c>
      <c r="J47" s="14">
        <f t="shared" si="35"/>
        <v>11000000</v>
      </c>
      <c r="K47" s="14">
        <f t="shared" si="35"/>
        <v>12000000</v>
      </c>
      <c r="L47" s="14">
        <f t="shared" si="35"/>
        <v>11000000</v>
      </c>
      <c r="M47" s="14">
        <f t="shared" si="35"/>
        <v>12000000</v>
      </c>
      <c r="N47" s="14">
        <f t="shared" si="35"/>
        <v>12000000</v>
      </c>
      <c r="O47" s="14">
        <f t="shared" si="35"/>
        <v>13000000</v>
      </c>
      <c r="P47" s="14">
        <f t="shared" si="35"/>
        <v>14000000</v>
      </c>
      <c r="Q47" s="14">
        <f t="shared" si="35"/>
        <v>16000000</v>
      </c>
      <c r="R47" s="14">
        <f t="shared" si="35"/>
        <v>18000000</v>
      </c>
      <c r="S47" s="14">
        <f t="shared" si="35"/>
        <v>16000000</v>
      </c>
    </row>
    <row r="48" spans="1:19" ht="26.25" customHeight="1">
      <c r="A48" s="43" t="s">
        <v>44</v>
      </c>
      <c r="B48" s="44" t="s">
        <v>82</v>
      </c>
      <c r="C48" s="10">
        <f>(12849882-799132+419870-1390000-275000)</f>
        <v>10805620</v>
      </c>
      <c r="D48" s="120">
        <f>(17725472-3093426)</f>
        <v>14632046</v>
      </c>
      <c r="E48" s="12">
        <v>6950000</v>
      </c>
      <c r="F48" s="12">
        <v>3400000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12">
        <v>0</v>
      </c>
    </row>
    <row r="49" spans="1:19" ht="42" customHeight="1">
      <c r="A49" s="152"/>
      <c r="B49" s="44" t="s">
        <v>84</v>
      </c>
      <c r="C49" s="10">
        <f>(4649688-799132)</f>
        <v>3850556</v>
      </c>
      <c r="D49" s="12">
        <f>(8475472-3093426)</f>
        <v>5382046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12">
        <v>0</v>
      </c>
    </row>
    <row r="50" spans="1:19" ht="25.5" customHeight="1">
      <c r="A50" s="153"/>
      <c r="B50" s="44" t="s">
        <v>45</v>
      </c>
      <c r="C50" s="10">
        <f aca="true" t="shared" si="36" ref="C50:H50">C48-C49</f>
        <v>6955064</v>
      </c>
      <c r="D50" s="10">
        <f t="shared" si="36"/>
        <v>9250000</v>
      </c>
      <c r="E50" s="10">
        <f t="shared" si="36"/>
        <v>6950000</v>
      </c>
      <c r="F50" s="10">
        <f t="shared" si="36"/>
        <v>3400000</v>
      </c>
      <c r="G50" s="10">
        <f t="shared" si="36"/>
        <v>4735000</v>
      </c>
      <c r="H50" s="10">
        <f t="shared" si="36"/>
        <v>1800000</v>
      </c>
      <c r="I50" s="10">
        <f>I48-I49</f>
        <v>0</v>
      </c>
      <c r="J50" s="10">
        <f>J48-J49</f>
        <v>0</v>
      </c>
      <c r="K50" s="12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12">
        <v>0</v>
      </c>
    </row>
    <row r="51" spans="1:19" ht="27.75" customHeight="1">
      <c r="A51" s="154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>C47-C48</f>
        <v>4319027</v>
      </c>
      <c r="D52" s="10">
        <f>D47-D48</f>
        <v>0</v>
      </c>
      <c r="E52" s="10">
        <f>E47-E48</f>
        <v>0</v>
      </c>
      <c r="F52" s="10">
        <v>2000000</v>
      </c>
      <c r="G52" s="10">
        <v>2000000</v>
      </c>
      <c r="H52" s="10">
        <v>5000000</v>
      </c>
      <c r="I52" s="10">
        <v>10000000</v>
      </c>
      <c r="J52" s="10">
        <v>11000000</v>
      </c>
      <c r="K52" s="10">
        <v>12000000</v>
      </c>
      <c r="L52" s="10">
        <v>11000000</v>
      </c>
      <c r="M52" s="10">
        <v>12000000</v>
      </c>
      <c r="N52" s="10">
        <v>12000000</v>
      </c>
      <c r="O52" s="10">
        <v>13000000</v>
      </c>
      <c r="P52" s="10">
        <v>14000000</v>
      </c>
      <c r="Q52" s="10">
        <v>16000000</v>
      </c>
      <c r="R52" s="10">
        <v>18000000</v>
      </c>
      <c r="S52" s="10">
        <v>16000000</v>
      </c>
    </row>
    <row r="53" spans="1:19" ht="26.25" customHeight="1">
      <c r="A53" s="43"/>
      <c r="B53" s="44" t="s">
        <v>116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97</v>
      </c>
      <c r="C54" s="25">
        <v>4361000</v>
      </c>
      <c r="D54" s="25">
        <v>3270000</v>
      </c>
      <c r="E54" s="25">
        <v>510000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7" ref="C56:S56">C46-C47+C54</f>
        <v>0</v>
      </c>
      <c r="D56" s="25">
        <f t="shared" si="37"/>
        <v>1015049.4099999964</v>
      </c>
      <c r="E56" s="25">
        <f t="shared" si="37"/>
        <v>510062.96510002017</v>
      </c>
      <c r="F56" s="25">
        <f t="shared" si="37"/>
        <v>1719869.1580710262</v>
      </c>
      <c r="G56" s="25">
        <f t="shared" si="37"/>
        <v>1187933.6085522324</v>
      </c>
      <c r="H56" s="25">
        <f t="shared" si="37"/>
        <v>2203681.69963035</v>
      </c>
      <c r="I56" s="25">
        <f t="shared" si="37"/>
        <v>2251982.9242331833</v>
      </c>
      <c r="J56" s="25">
        <f t="shared" si="37"/>
        <v>2389360.323348239</v>
      </c>
      <c r="K56" s="25">
        <f t="shared" si="37"/>
        <v>2402400.1185659915</v>
      </c>
      <c r="L56" s="37">
        <f t="shared" si="37"/>
        <v>2210361.5428896844</v>
      </c>
      <c r="M56" s="37">
        <f t="shared" si="37"/>
        <v>1784986.8738334775</v>
      </c>
      <c r="N56" s="37">
        <f t="shared" si="37"/>
        <v>2381461.6729110777</v>
      </c>
      <c r="O56" s="37">
        <f t="shared" si="37"/>
        <v>2676475.6899222434</v>
      </c>
      <c r="P56" s="37">
        <f t="shared" si="37"/>
        <v>2659508.130774036</v>
      </c>
      <c r="Q56" s="37">
        <f t="shared" si="37"/>
        <v>3180926.187173113</v>
      </c>
      <c r="R56" s="37">
        <f t="shared" si="37"/>
        <v>2429300.324820459</v>
      </c>
      <c r="S56" s="25">
        <f t="shared" si="37"/>
        <v>2767059.7377878428</v>
      </c>
    </row>
    <row r="57" spans="1:19" ht="21" customHeight="1">
      <c r="A57" s="41" t="s">
        <v>51</v>
      </c>
      <c r="B57" s="42" t="s">
        <v>52</v>
      </c>
      <c r="C57" s="25">
        <v>32621282</v>
      </c>
      <c r="D57" s="25">
        <v>29269812</v>
      </c>
      <c r="E57" s="25">
        <v>26945142</v>
      </c>
      <c r="F57" s="25">
        <v>24008472</v>
      </c>
      <c r="G57" s="25">
        <v>21071802</v>
      </c>
      <c r="H57" s="25">
        <v>18135132</v>
      </c>
      <c r="I57" s="25">
        <v>15198462</v>
      </c>
      <c r="J57" s="25">
        <v>12647992</v>
      </c>
      <c r="K57" s="25">
        <v>10199522</v>
      </c>
      <c r="L57" s="37">
        <v>7751052</v>
      </c>
      <c r="M57" s="97">
        <v>5302582</v>
      </c>
      <c r="N57" s="97">
        <v>3317062</v>
      </c>
      <c r="O57" s="97">
        <v>1658542</v>
      </c>
      <c r="P57" s="88">
        <v>0</v>
      </c>
      <c r="Q57" s="88">
        <v>0</v>
      </c>
      <c r="R57" s="88">
        <v>0</v>
      </c>
      <c r="S57" s="87">
        <v>0</v>
      </c>
    </row>
    <row r="58" spans="1:19" ht="52.5" customHeight="1">
      <c r="A58" s="28"/>
      <c r="B58" s="44" t="s">
        <v>53</v>
      </c>
      <c r="C58" s="10">
        <v>0</v>
      </c>
      <c r="D58" s="22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5">
        <v>1599714</v>
      </c>
      <c r="D59" s="116">
        <v>6621470</v>
      </c>
      <c r="E59" s="116">
        <v>2834670</v>
      </c>
      <c r="F59" s="116">
        <v>2936670</v>
      </c>
      <c r="G59" s="116">
        <v>2936670</v>
      </c>
      <c r="H59" s="116">
        <v>2936670</v>
      </c>
      <c r="I59" s="116">
        <v>2936670</v>
      </c>
      <c r="J59" s="116">
        <v>2550470</v>
      </c>
      <c r="K59" s="116">
        <v>2448470</v>
      </c>
      <c r="L59" s="116">
        <v>2448470</v>
      </c>
      <c r="M59" s="116">
        <v>2448470</v>
      </c>
      <c r="N59" s="117">
        <v>1985520</v>
      </c>
      <c r="O59" s="117">
        <v>1658520</v>
      </c>
      <c r="P59" s="117">
        <v>1658542</v>
      </c>
      <c r="Q59" s="117">
        <v>0</v>
      </c>
      <c r="R59" s="117">
        <v>0</v>
      </c>
      <c r="S59" s="116"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5">
        <f>C62+C63+C64+C65</f>
        <v>1599714</v>
      </c>
      <c r="D61" s="115">
        <f aca="true" t="shared" si="38" ref="D61:S61">D62+D63+D64+D65</f>
        <v>6621470</v>
      </c>
      <c r="E61" s="115">
        <f t="shared" si="38"/>
        <v>2834670</v>
      </c>
      <c r="F61" s="115">
        <f t="shared" si="38"/>
        <v>2936670</v>
      </c>
      <c r="G61" s="115">
        <f t="shared" si="38"/>
        <v>2936670</v>
      </c>
      <c r="H61" s="115">
        <f t="shared" si="38"/>
        <v>2936670</v>
      </c>
      <c r="I61" s="115">
        <f t="shared" si="38"/>
        <v>2936670</v>
      </c>
      <c r="J61" s="115">
        <f t="shared" si="38"/>
        <v>2550470</v>
      </c>
      <c r="K61" s="115">
        <f t="shared" si="38"/>
        <v>2448470</v>
      </c>
      <c r="L61" s="115">
        <f t="shared" si="38"/>
        <v>2448470</v>
      </c>
      <c r="M61" s="115">
        <f t="shared" si="38"/>
        <v>2448470</v>
      </c>
      <c r="N61" s="115">
        <f t="shared" si="38"/>
        <v>1985520</v>
      </c>
      <c r="O61" s="115">
        <f t="shared" si="38"/>
        <v>1658520</v>
      </c>
      <c r="P61" s="115">
        <v>1658542</v>
      </c>
      <c r="Q61" s="115">
        <f t="shared" si="38"/>
        <v>0</v>
      </c>
      <c r="R61" s="115">
        <f t="shared" si="38"/>
        <v>0</v>
      </c>
      <c r="S61" s="115">
        <f t="shared" si="38"/>
        <v>0</v>
      </c>
    </row>
    <row r="62" spans="1:19" ht="14.25" customHeight="1">
      <c r="A62" s="144"/>
      <c r="B62" s="55" t="s">
        <v>58</v>
      </c>
      <c r="C62" s="22">
        <v>0</v>
      </c>
      <c r="D62" s="22">
        <v>0</v>
      </c>
      <c r="E62" s="22">
        <f>E7-E16</f>
        <v>1819683.5551000237</v>
      </c>
      <c r="F62" s="22">
        <v>2936670</v>
      </c>
      <c r="G62" s="120">
        <f>G7-G16</f>
        <v>2404734.450481206</v>
      </c>
      <c r="H62" s="120">
        <v>2936670</v>
      </c>
      <c r="I62" s="120">
        <v>2936670</v>
      </c>
      <c r="J62" s="22">
        <v>2550470</v>
      </c>
      <c r="K62" s="120">
        <v>2448470</v>
      </c>
      <c r="L62" s="121">
        <f>+L7-L16</f>
        <v>2256431.424323693</v>
      </c>
      <c r="M62" s="121">
        <f>+M7-M16</f>
        <v>2023095.330943793</v>
      </c>
      <c r="N62" s="121">
        <v>1985520</v>
      </c>
      <c r="O62" s="121">
        <v>1658520</v>
      </c>
      <c r="P62" s="121">
        <f>P7-P16</f>
        <v>1641574.4408517927</v>
      </c>
      <c r="Q62" s="22">
        <v>0</v>
      </c>
      <c r="R62" s="22">
        <v>0</v>
      </c>
      <c r="S62" s="22">
        <v>0</v>
      </c>
    </row>
    <row r="63" spans="1:19" ht="12.75" customHeight="1">
      <c r="A63" s="145"/>
      <c r="B63" s="55" t="s">
        <v>59</v>
      </c>
      <c r="C63" s="22">
        <v>89714</v>
      </c>
      <c r="D63" s="22">
        <v>0</v>
      </c>
      <c r="E63" s="22">
        <f>E59-E62</f>
        <v>1014986.4448999763</v>
      </c>
      <c r="F63" s="22">
        <v>0</v>
      </c>
      <c r="G63" s="27">
        <f>G59-G62</f>
        <v>531935.5495187938</v>
      </c>
      <c r="H63" s="26">
        <v>0</v>
      </c>
      <c r="I63" s="26">
        <f aca="true" t="shared" si="39" ref="I63:P63">I59-I62</f>
        <v>0</v>
      </c>
      <c r="J63" s="26">
        <f t="shared" si="39"/>
        <v>0</v>
      </c>
      <c r="K63" s="26">
        <v>0</v>
      </c>
      <c r="L63" s="75">
        <f t="shared" si="39"/>
        <v>192038.57567630708</v>
      </c>
      <c r="M63" s="75">
        <f t="shared" si="39"/>
        <v>425374.66905620694</v>
      </c>
      <c r="N63" s="75">
        <f t="shared" si="39"/>
        <v>0</v>
      </c>
      <c r="O63" s="75">
        <f t="shared" si="39"/>
        <v>0</v>
      </c>
      <c r="P63" s="26">
        <f t="shared" si="39"/>
        <v>16967.559148207307</v>
      </c>
      <c r="Q63" s="3">
        <v>0</v>
      </c>
      <c r="R63" s="85">
        <v>0</v>
      </c>
      <c r="S63" s="85">
        <v>0</v>
      </c>
    </row>
    <row r="64" spans="1:19" ht="39" customHeight="1">
      <c r="A64" s="145"/>
      <c r="B64" s="44" t="s">
        <v>147</v>
      </c>
      <c r="C64" s="22">
        <v>1510000</v>
      </c>
      <c r="D64" s="120">
        <v>6621470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46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150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7"/>
      <c r="N66" s="87"/>
      <c r="O66" s="87"/>
      <c r="P66" s="88"/>
      <c r="Q66" s="87"/>
      <c r="R66" s="87"/>
      <c r="S66" s="87"/>
    </row>
    <row r="67" spans="1:19" ht="39" customHeight="1">
      <c r="A67" s="28" t="s">
        <v>107</v>
      </c>
      <c r="B67" s="44" t="s">
        <v>62</v>
      </c>
      <c r="C67" s="35">
        <f aca="true" t="shared" si="40" ref="C67:S67">C35/C7</f>
        <v>0.036707104532863584</v>
      </c>
      <c r="D67" s="35">
        <f t="shared" si="40"/>
        <v>0.09176232120246816</v>
      </c>
      <c r="E67" s="35">
        <f t="shared" si="40"/>
        <v>0.05048283169371531</v>
      </c>
      <c r="F67" s="35">
        <f t="shared" si="40"/>
        <v>0.049056282166700105</v>
      </c>
      <c r="G67" s="35">
        <f t="shared" si="40"/>
        <v>0.047169727330391334</v>
      </c>
      <c r="H67" s="35">
        <f t="shared" si="40"/>
        <v>0.044381916717737405</v>
      </c>
      <c r="I67" s="35">
        <f t="shared" si="40"/>
        <v>0.04162009678404735</v>
      </c>
      <c r="J67" s="35">
        <f t="shared" si="40"/>
        <v>0.035779162371917195</v>
      </c>
      <c r="K67" s="35">
        <f t="shared" si="40"/>
        <v>0.03302820622628414</v>
      </c>
      <c r="L67" s="77">
        <f t="shared" si="40"/>
        <v>0.031897823221300775</v>
      </c>
      <c r="M67" s="77">
        <f t="shared" si="40"/>
        <v>0.030270282883341274</v>
      </c>
      <c r="N67" s="77">
        <f t="shared" si="40"/>
        <v>0.024470040609127913</v>
      </c>
      <c r="O67" s="77">
        <f t="shared" si="40"/>
        <v>0.02034677356622536</v>
      </c>
      <c r="P67" s="77">
        <f t="shared" si="40"/>
        <v>0.019185599358735334</v>
      </c>
      <c r="Q67" s="77">
        <f t="shared" si="40"/>
        <v>0.0037984602847746444</v>
      </c>
      <c r="R67" s="77">
        <f t="shared" si="40"/>
        <v>0.003727004881371288</v>
      </c>
      <c r="S67" s="35">
        <f t="shared" si="40"/>
        <v>0.0037084298911675222</v>
      </c>
    </row>
    <row r="68" spans="1:19" ht="49.5" customHeight="1">
      <c r="A68" s="28"/>
      <c r="B68" s="44" t="s">
        <v>63</v>
      </c>
      <c r="C68" s="35">
        <f aca="true" t="shared" si="41" ref="C68:S68">(C35-C38-C60)/C7</f>
        <v>0.036707104532863584</v>
      </c>
      <c r="D68" s="35">
        <f t="shared" si="41"/>
        <v>0.09176232120246816</v>
      </c>
      <c r="E68" s="35">
        <f t="shared" si="41"/>
        <v>0.05048283169371531</v>
      </c>
      <c r="F68" s="35">
        <f t="shared" si="41"/>
        <v>0.049056282166700105</v>
      </c>
      <c r="G68" s="35">
        <f t="shared" si="41"/>
        <v>0.047169727330391334</v>
      </c>
      <c r="H68" s="35">
        <f t="shared" si="41"/>
        <v>0.044381916717737405</v>
      </c>
      <c r="I68" s="35">
        <f t="shared" si="41"/>
        <v>0.04162009678404735</v>
      </c>
      <c r="J68" s="35">
        <f t="shared" si="41"/>
        <v>0.035779162371917195</v>
      </c>
      <c r="K68" s="35">
        <f t="shared" si="41"/>
        <v>0.03302820622628414</v>
      </c>
      <c r="L68" s="35">
        <f t="shared" si="41"/>
        <v>0.031897823221300775</v>
      </c>
      <c r="M68" s="35">
        <f t="shared" si="41"/>
        <v>0.030270282883341274</v>
      </c>
      <c r="N68" s="35">
        <f t="shared" si="41"/>
        <v>0.024470040609127913</v>
      </c>
      <c r="O68" s="35">
        <f t="shared" si="41"/>
        <v>0.02034677356622536</v>
      </c>
      <c r="P68" s="35">
        <f t="shared" si="41"/>
        <v>0.019185599358735334</v>
      </c>
      <c r="Q68" s="35">
        <f t="shared" si="41"/>
        <v>0.0037984602847746444</v>
      </c>
      <c r="R68" s="35">
        <f t="shared" si="41"/>
        <v>0.003727004881371288</v>
      </c>
      <c r="S68" s="35">
        <f t="shared" si="41"/>
        <v>0.0037084298911675222</v>
      </c>
    </row>
    <row r="69" spans="1:19" ht="37.5" customHeight="1">
      <c r="A69" s="28" t="s">
        <v>108</v>
      </c>
      <c r="B69" s="44" t="s">
        <v>64</v>
      </c>
      <c r="C69" s="35">
        <f aca="true" t="shared" si="42" ref="C69:S69">C57/C7</f>
        <v>0.33864873647097227</v>
      </c>
      <c r="D69" s="35">
        <f t="shared" si="42"/>
        <v>0.3016911600166081</v>
      </c>
      <c r="E69" s="35">
        <f t="shared" si="42"/>
        <v>0.28442397962528637</v>
      </c>
      <c r="F69" s="35">
        <f t="shared" si="42"/>
        <v>0.24912216235734902</v>
      </c>
      <c r="G69" s="35">
        <f t="shared" si="42"/>
        <v>0.21760791928144585</v>
      </c>
      <c r="H69" s="35">
        <f t="shared" si="42"/>
        <v>0.18258665469097216</v>
      </c>
      <c r="I69" s="35">
        <f t="shared" si="42"/>
        <v>0.14836207980580549</v>
      </c>
      <c r="J69" s="35">
        <f t="shared" si="42"/>
        <v>0.12156956470316851</v>
      </c>
      <c r="K69" s="35">
        <f t="shared" si="42"/>
        <v>0.09648011983707336</v>
      </c>
      <c r="L69" s="77">
        <f t="shared" si="42"/>
        <v>0.0735228069543197</v>
      </c>
      <c r="M69" s="77">
        <f t="shared" si="42"/>
        <v>0.04950496995420972</v>
      </c>
      <c r="N69" s="77">
        <f t="shared" si="42"/>
        <v>0.030543313507503146</v>
      </c>
      <c r="O69" s="77">
        <f t="shared" si="42"/>
        <v>0.015025238072245742</v>
      </c>
      <c r="P69" s="77">
        <f t="shared" si="42"/>
        <v>0</v>
      </c>
      <c r="Q69" s="77">
        <f t="shared" si="42"/>
        <v>0</v>
      </c>
      <c r="R69" s="77">
        <f t="shared" si="42"/>
        <v>0</v>
      </c>
      <c r="S69" s="35">
        <f t="shared" si="42"/>
        <v>0</v>
      </c>
    </row>
    <row r="70" spans="1:19" ht="49.5" customHeight="1">
      <c r="A70" s="28"/>
      <c r="B70" s="44" t="s">
        <v>65</v>
      </c>
      <c r="C70" s="35">
        <f aca="true" t="shared" si="43" ref="C70:S70">(C57-C58)/C7</f>
        <v>0.33864873647097227</v>
      </c>
      <c r="D70" s="35">
        <f t="shared" si="43"/>
        <v>0.3016911600166081</v>
      </c>
      <c r="E70" s="35">
        <f t="shared" si="43"/>
        <v>0.28442397962528637</v>
      </c>
      <c r="F70" s="35">
        <f t="shared" si="43"/>
        <v>0.24912216235734902</v>
      </c>
      <c r="G70" s="35">
        <f t="shared" si="43"/>
        <v>0.21760791928144585</v>
      </c>
      <c r="H70" s="35">
        <f t="shared" si="43"/>
        <v>0.18258665469097216</v>
      </c>
      <c r="I70" s="35">
        <f t="shared" si="43"/>
        <v>0.14836207980580549</v>
      </c>
      <c r="J70" s="35">
        <f t="shared" si="43"/>
        <v>0.12156956470316851</v>
      </c>
      <c r="K70" s="35">
        <f t="shared" si="43"/>
        <v>0.09648011983707336</v>
      </c>
      <c r="L70" s="77">
        <f t="shared" si="43"/>
        <v>0.0735228069543197</v>
      </c>
      <c r="M70" s="77">
        <f t="shared" si="43"/>
        <v>0.04950496995420972</v>
      </c>
      <c r="N70" s="77">
        <f t="shared" si="43"/>
        <v>0.030543313507503146</v>
      </c>
      <c r="O70" s="77">
        <f t="shared" si="43"/>
        <v>0.015025238072245742</v>
      </c>
      <c r="P70" s="77">
        <f t="shared" si="43"/>
        <v>0</v>
      </c>
      <c r="Q70" s="77">
        <f t="shared" si="43"/>
        <v>0</v>
      </c>
      <c r="R70" s="77">
        <f t="shared" si="43"/>
        <v>0</v>
      </c>
      <c r="S70" s="35">
        <f t="shared" si="43"/>
        <v>0</v>
      </c>
    </row>
    <row r="71" spans="1:19" ht="38.25" customHeight="1">
      <c r="A71" s="28" t="s">
        <v>109</v>
      </c>
      <c r="B71" s="44" t="s">
        <v>88</v>
      </c>
      <c r="C71" s="35">
        <f aca="true" t="shared" si="44" ref="C71:S71">(C8+C13-C20-C36)/C7</f>
        <v>0.04376786082578066</v>
      </c>
      <c r="D71" s="35">
        <f t="shared" si="44"/>
        <v>0.03844413621043687</v>
      </c>
      <c r="E71" s="35">
        <f t="shared" si="44"/>
        <v>0.08539567858917624</v>
      </c>
      <c r="F71" s="35">
        <f t="shared" si="44"/>
        <v>0.09869874108580176</v>
      </c>
      <c r="G71" s="35">
        <f t="shared" si="44"/>
        <v>0.09402792553419514</v>
      </c>
      <c r="H71" s="35">
        <f t="shared" si="44"/>
        <v>0.10790772704293722</v>
      </c>
      <c r="I71" s="35">
        <f t="shared" si="44"/>
        <v>0.12641648516468987</v>
      </c>
      <c r="J71" s="35">
        <f t="shared" si="44"/>
        <v>0.13123133695120584</v>
      </c>
      <c r="K71" s="35">
        <f t="shared" si="44"/>
        <v>0.13646765725637974</v>
      </c>
      <c r="L71" s="77">
        <f t="shared" si="44"/>
        <v>0.1254155258775635</v>
      </c>
      <c r="M71" s="77">
        <f t="shared" si="44"/>
        <v>0.13059626749752629</v>
      </c>
      <c r="N71" s="77">
        <f t="shared" si="44"/>
        <v>0.13395107515929217</v>
      </c>
      <c r="O71" s="77">
        <f t="shared" si="44"/>
        <v>0.13515469554108395</v>
      </c>
      <c r="P71" s="77">
        <f t="shared" si="44"/>
        <v>0.13872420106143177</v>
      </c>
      <c r="Q71" s="77">
        <f t="shared" si="44"/>
        <v>0.14356790988340737</v>
      </c>
      <c r="R71" s="77">
        <f t="shared" si="44"/>
        <v>0.14707845645707424</v>
      </c>
      <c r="S71" s="35">
        <f t="shared" si="44"/>
        <v>0.13860368441250154</v>
      </c>
    </row>
    <row r="72" spans="1:19" ht="71.25" customHeight="1">
      <c r="A72" s="28" t="s">
        <v>110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5" ref="F72:L72">(C71+D71+E71)/3</f>
        <v>0.055869225208464594</v>
      </c>
      <c r="G72" s="62">
        <f t="shared" si="45"/>
        <v>0.07417951862847162</v>
      </c>
      <c r="H72" s="62">
        <f t="shared" si="45"/>
        <v>0.09270744840305771</v>
      </c>
      <c r="I72" s="62">
        <f t="shared" si="45"/>
        <v>0.10021146455431136</v>
      </c>
      <c r="J72" s="62">
        <f t="shared" si="45"/>
        <v>0.10945071258060741</v>
      </c>
      <c r="K72" s="62">
        <f t="shared" si="45"/>
        <v>0.12185184971961098</v>
      </c>
      <c r="L72" s="78">
        <f t="shared" si="45"/>
        <v>0.13137182645742515</v>
      </c>
      <c r="M72" s="78">
        <f aca="true" t="shared" si="46" ref="M72:S72">(J71+K71+L71)/3</f>
        <v>0.13103817336171636</v>
      </c>
      <c r="N72" s="78">
        <f t="shared" si="46"/>
        <v>0.13082648354382317</v>
      </c>
      <c r="O72" s="78">
        <f t="shared" si="46"/>
        <v>0.12998762284479398</v>
      </c>
      <c r="P72" s="78">
        <f t="shared" si="46"/>
        <v>0.13323401273263413</v>
      </c>
      <c r="Q72" s="78">
        <f t="shared" si="46"/>
        <v>0.13594332392060263</v>
      </c>
      <c r="R72" s="78">
        <f t="shared" si="46"/>
        <v>0.1391489354953077</v>
      </c>
      <c r="S72" s="62">
        <f t="shared" si="46"/>
        <v>0.14312352246730445</v>
      </c>
    </row>
    <row r="73" spans="1:19" ht="52.5" customHeight="1">
      <c r="A73" s="28" t="s">
        <v>111</v>
      </c>
      <c r="B73" s="44" t="s">
        <v>87</v>
      </c>
      <c r="C73" s="35">
        <f aca="true" t="shared" si="47" ref="C73:S73">C35/C7</f>
        <v>0.036707104532863584</v>
      </c>
      <c r="D73" s="35">
        <f t="shared" si="47"/>
        <v>0.09176232120246816</v>
      </c>
      <c r="E73" s="35">
        <f t="shared" si="47"/>
        <v>0.05048283169371531</v>
      </c>
      <c r="F73" s="35">
        <f t="shared" si="47"/>
        <v>0.049056282166700105</v>
      </c>
      <c r="G73" s="35">
        <f t="shared" si="47"/>
        <v>0.047169727330391334</v>
      </c>
      <c r="H73" s="35">
        <f t="shared" si="47"/>
        <v>0.044381916717737405</v>
      </c>
      <c r="I73" s="35">
        <f t="shared" si="47"/>
        <v>0.04162009678404735</v>
      </c>
      <c r="J73" s="35">
        <f t="shared" si="47"/>
        <v>0.035779162371917195</v>
      </c>
      <c r="K73" s="35">
        <f t="shared" si="47"/>
        <v>0.03302820622628414</v>
      </c>
      <c r="L73" s="77">
        <f t="shared" si="47"/>
        <v>0.031897823221300775</v>
      </c>
      <c r="M73" s="77">
        <f t="shared" si="47"/>
        <v>0.030270282883341274</v>
      </c>
      <c r="N73" s="77">
        <f t="shared" si="47"/>
        <v>0.024470040609127913</v>
      </c>
      <c r="O73" s="77">
        <f t="shared" si="47"/>
        <v>0.02034677356622536</v>
      </c>
      <c r="P73" s="77">
        <f t="shared" si="47"/>
        <v>0.019185599358735334</v>
      </c>
      <c r="Q73" s="77">
        <f t="shared" si="47"/>
        <v>0.0037984602847746444</v>
      </c>
      <c r="R73" s="77">
        <f t="shared" si="47"/>
        <v>0.003727004881371288</v>
      </c>
      <c r="S73" s="35">
        <f t="shared" si="47"/>
        <v>0.0037084298911675222</v>
      </c>
    </row>
    <row r="74" spans="1:19" ht="51" customHeight="1">
      <c r="A74" s="28"/>
      <c r="B74" s="44" t="s">
        <v>66</v>
      </c>
      <c r="C74" s="62">
        <f aca="true" t="shared" si="48" ref="C74:S74">(C43-C44+C36)/C7</f>
        <v>0.036707104532863584</v>
      </c>
      <c r="D74" s="62">
        <f t="shared" si="48"/>
        <v>0.09176232120246816</v>
      </c>
      <c r="E74" s="62">
        <f t="shared" si="48"/>
        <v>0.05048283169371531</v>
      </c>
      <c r="F74" s="62">
        <f t="shared" si="48"/>
        <v>0.049056282166700105</v>
      </c>
      <c r="G74" s="62">
        <f t="shared" si="48"/>
        <v>0.047169727330391334</v>
      </c>
      <c r="H74" s="62">
        <f t="shared" si="48"/>
        <v>0.044381916717737405</v>
      </c>
      <c r="I74" s="62">
        <f t="shared" si="48"/>
        <v>0.04162009678404735</v>
      </c>
      <c r="J74" s="62">
        <f t="shared" si="48"/>
        <v>0.035779162371917195</v>
      </c>
      <c r="K74" s="62">
        <f t="shared" si="48"/>
        <v>0.03302820622628414</v>
      </c>
      <c r="L74" s="78">
        <f t="shared" si="48"/>
        <v>0.031897823221300775</v>
      </c>
      <c r="M74" s="78">
        <f t="shared" si="48"/>
        <v>0.030270282883341274</v>
      </c>
      <c r="N74" s="78">
        <f t="shared" si="48"/>
        <v>0.024470040609127913</v>
      </c>
      <c r="O74" s="78">
        <f t="shared" si="48"/>
        <v>0.02034677356622536</v>
      </c>
      <c r="P74" s="78">
        <f t="shared" si="48"/>
        <v>0.019185599358735334</v>
      </c>
      <c r="Q74" s="78">
        <f t="shared" si="48"/>
        <v>0.0037984602847746444</v>
      </c>
      <c r="R74" s="78">
        <f t="shared" si="48"/>
        <v>0.003727004881371288</v>
      </c>
      <c r="S74" s="62">
        <f t="shared" si="48"/>
        <v>0.0037084298911675222</v>
      </c>
    </row>
    <row r="75" spans="1:19" ht="43.5" customHeight="1">
      <c r="A75" s="28"/>
      <c r="B75" s="44" t="s">
        <v>85</v>
      </c>
      <c r="C75" s="22"/>
      <c r="D75" s="22"/>
      <c r="E75" s="22"/>
      <c r="F75" s="122" t="s">
        <v>148</v>
      </c>
      <c r="G75" s="122" t="s">
        <v>148</v>
      </c>
      <c r="H75" s="122" t="s">
        <v>148</v>
      </c>
      <c r="I75" s="122" t="s">
        <v>148</v>
      </c>
      <c r="J75" s="122" t="s">
        <v>148</v>
      </c>
      <c r="K75" s="122" t="s">
        <v>148</v>
      </c>
      <c r="L75" s="122" t="s">
        <v>148</v>
      </c>
      <c r="M75" s="122" t="s">
        <v>148</v>
      </c>
      <c r="N75" s="122" t="s">
        <v>148</v>
      </c>
      <c r="O75" s="122" t="s">
        <v>148</v>
      </c>
      <c r="P75" s="122" t="s">
        <v>148</v>
      </c>
      <c r="Q75" s="122" t="s">
        <v>148</v>
      </c>
      <c r="R75" s="122" t="s">
        <v>148</v>
      </c>
      <c r="S75" s="122" t="s">
        <v>148</v>
      </c>
    </row>
    <row r="76" spans="1:19" ht="43.5" customHeight="1">
      <c r="A76" s="129"/>
      <c r="B76" s="56"/>
      <c r="C76" s="29"/>
      <c r="D76" s="29"/>
      <c r="E76" s="29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1:19" s="30" customFormat="1" ht="27.75" customHeight="1">
      <c r="A77" s="143" t="s">
        <v>70</v>
      </c>
      <c r="B77" s="137" t="s">
        <v>91</v>
      </c>
      <c r="C77" s="139">
        <v>2011</v>
      </c>
      <c r="D77" s="140" t="s">
        <v>71</v>
      </c>
      <c r="E77" s="140"/>
      <c r="F77" s="140"/>
      <c r="G77" s="140"/>
      <c r="H77" s="140"/>
      <c r="I77" s="140"/>
      <c r="J77" s="140"/>
      <c r="K77" s="140"/>
      <c r="L77" s="147"/>
      <c r="M77" s="130"/>
      <c r="N77" s="130"/>
      <c r="O77" s="130"/>
      <c r="P77" s="131"/>
      <c r="Q77" s="132"/>
      <c r="R77" s="132"/>
      <c r="S77" s="132"/>
    </row>
    <row r="78" spans="1:19" s="30" customFormat="1" ht="18.75" customHeight="1">
      <c r="A78" s="143"/>
      <c r="B78" s="138"/>
      <c r="C78" s="140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79">
        <v>2020</v>
      </c>
      <c r="M78" s="94">
        <v>2021</v>
      </c>
      <c r="N78" s="94">
        <v>2022</v>
      </c>
      <c r="O78" s="94">
        <v>2023</v>
      </c>
      <c r="P78" s="95">
        <v>2024</v>
      </c>
      <c r="Q78" s="94">
        <v>2025</v>
      </c>
      <c r="R78" s="94">
        <v>2026</v>
      </c>
      <c r="S78" s="94">
        <v>2027</v>
      </c>
    </row>
    <row r="79" spans="1:19" s="59" customFormat="1" ht="14.25" customHeight="1">
      <c r="A79" s="45" t="s">
        <v>121</v>
      </c>
      <c r="B79" s="128" t="s">
        <v>122</v>
      </c>
      <c r="C79" s="60" t="s">
        <v>123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0" t="s">
        <v>79</v>
      </c>
      <c r="M79" s="89">
        <v>13</v>
      </c>
      <c r="N79" s="89">
        <v>14</v>
      </c>
      <c r="O79" s="89">
        <v>15</v>
      </c>
      <c r="P79" s="90">
        <v>16</v>
      </c>
      <c r="Q79" s="89">
        <v>17</v>
      </c>
      <c r="R79" s="89">
        <v>18</v>
      </c>
      <c r="S79" s="89">
        <v>19</v>
      </c>
    </row>
    <row r="80" spans="1:19" ht="21.75" customHeight="1">
      <c r="A80" s="28" t="s">
        <v>94</v>
      </c>
      <c r="B80" s="126" t="s">
        <v>67</v>
      </c>
      <c r="C80" s="22">
        <f>C7</f>
        <v>96327783</v>
      </c>
      <c r="D80" s="22">
        <f aca="true" t="shared" si="49" ref="D80:S80">D7</f>
        <v>97019123.78999999</v>
      </c>
      <c r="E80" s="22">
        <f t="shared" si="49"/>
        <v>94735830.76750001</v>
      </c>
      <c r="F80" s="22">
        <f t="shared" si="49"/>
        <v>96372284.87749499</v>
      </c>
      <c r="G80" s="22">
        <f t="shared" si="49"/>
        <v>96833801.22185043</v>
      </c>
      <c r="H80" s="22">
        <f t="shared" si="49"/>
        <v>99323425.53016102</v>
      </c>
      <c r="I80" s="22">
        <f t="shared" si="49"/>
        <v>102441688.73807657</v>
      </c>
      <c r="J80" s="22">
        <f t="shared" si="49"/>
        <v>104039132.08772352</v>
      </c>
      <c r="K80" s="22">
        <f t="shared" si="49"/>
        <v>105716307.3307123</v>
      </c>
      <c r="L80" s="27">
        <f t="shared" si="49"/>
        <v>105423776.93517318</v>
      </c>
      <c r="M80" s="27">
        <f t="shared" si="49"/>
        <v>107112114.29690178</v>
      </c>
      <c r="N80" s="27">
        <f t="shared" si="49"/>
        <v>108601903.95469517</v>
      </c>
      <c r="O80" s="27">
        <f t="shared" si="49"/>
        <v>110383741.80996299</v>
      </c>
      <c r="P80" s="27">
        <f t="shared" si="49"/>
        <v>112503235.35069789</v>
      </c>
      <c r="Q80" s="27">
        <f t="shared" si="49"/>
        <v>114836003.87989286</v>
      </c>
      <c r="R80" s="27">
        <f t="shared" si="49"/>
        <v>117037678.74849352</v>
      </c>
      <c r="S80" s="22">
        <f t="shared" si="49"/>
        <v>117623903.59297624</v>
      </c>
    </row>
    <row r="81" spans="1:19" ht="22.5" customHeight="1">
      <c r="A81" s="28" t="s">
        <v>95</v>
      </c>
      <c r="B81" s="126" t="s">
        <v>113</v>
      </c>
      <c r="C81" s="22">
        <f>C16</f>
        <v>101976685</v>
      </c>
      <c r="D81" s="22">
        <f aca="true" t="shared" si="50" ref="D81:S81">D16</f>
        <v>102352604.38</v>
      </c>
      <c r="E81" s="22">
        <f t="shared" si="50"/>
        <v>92916147.21239999</v>
      </c>
      <c r="F81" s="22">
        <f t="shared" si="50"/>
        <v>92225808.68452398</v>
      </c>
      <c r="G81" s="22">
        <f t="shared" si="50"/>
        <v>94429066.77136922</v>
      </c>
      <c r="H81" s="22">
        <f t="shared" si="50"/>
        <v>95371007.4390829</v>
      </c>
      <c r="I81" s="22">
        <f t="shared" si="50"/>
        <v>99456717.51347373</v>
      </c>
      <c r="J81" s="22">
        <f t="shared" si="50"/>
        <v>101351284.68860847</v>
      </c>
      <c r="K81" s="22">
        <f t="shared" si="50"/>
        <v>103254797.53549455</v>
      </c>
      <c r="L81" s="27">
        <f t="shared" si="50"/>
        <v>103167345.51084949</v>
      </c>
      <c r="M81" s="27">
        <f t="shared" si="50"/>
        <v>105089018.96595798</v>
      </c>
      <c r="N81" s="27">
        <f t="shared" si="50"/>
        <v>106019909.15561756</v>
      </c>
      <c r="O81" s="27">
        <f t="shared" si="50"/>
        <v>108430207.79295182</v>
      </c>
      <c r="P81" s="27">
        <f t="shared" si="50"/>
        <v>110861660.9098461</v>
      </c>
      <c r="Q81" s="27">
        <f t="shared" si="50"/>
        <v>114314585.82349378</v>
      </c>
      <c r="R81" s="27">
        <f t="shared" si="50"/>
        <v>117789304.61084618</v>
      </c>
      <c r="S81" s="22">
        <f t="shared" si="50"/>
        <v>117286144.18000886</v>
      </c>
    </row>
    <row r="82" spans="1:19" ht="21.75" customHeight="1">
      <c r="A82" s="57" t="s">
        <v>112</v>
      </c>
      <c r="B82" s="127" t="s">
        <v>68</v>
      </c>
      <c r="C82" s="36">
        <f>C80-C81</f>
        <v>-5648902</v>
      </c>
      <c r="D82" s="36">
        <f aca="true" t="shared" si="51" ref="D82:S82">D80-D81</f>
        <v>-5333480.590000004</v>
      </c>
      <c r="E82" s="36">
        <f t="shared" si="51"/>
        <v>1819683.5551000237</v>
      </c>
      <c r="F82" s="36">
        <f t="shared" si="51"/>
        <v>4146476.192971006</v>
      </c>
      <c r="G82" s="36">
        <f t="shared" si="51"/>
        <v>2404734.450481206</v>
      </c>
      <c r="H82" s="36">
        <f t="shared" si="51"/>
        <v>3952418.0910781175</v>
      </c>
      <c r="I82" s="36">
        <f t="shared" si="51"/>
        <v>2984971.2246028334</v>
      </c>
      <c r="J82" s="36">
        <f t="shared" si="51"/>
        <v>2687847.399115056</v>
      </c>
      <c r="K82" s="36">
        <f t="shared" si="51"/>
        <v>2461509.7952177525</v>
      </c>
      <c r="L82" s="81">
        <f t="shared" si="51"/>
        <v>2256431.424323693</v>
      </c>
      <c r="M82" s="81">
        <f t="shared" si="51"/>
        <v>2023095.330943793</v>
      </c>
      <c r="N82" s="81">
        <f t="shared" si="51"/>
        <v>2581994.7990776002</v>
      </c>
      <c r="O82" s="81">
        <f t="shared" si="51"/>
        <v>1953534.0170111656</v>
      </c>
      <c r="P82" s="81">
        <f t="shared" si="51"/>
        <v>1641574.4408517927</v>
      </c>
      <c r="Q82" s="81">
        <f t="shared" si="51"/>
        <v>521418.0563990772</v>
      </c>
      <c r="R82" s="81">
        <f t="shared" si="51"/>
        <v>-751625.8623526543</v>
      </c>
      <c r="S82" s="36">
        <f t="shared" si="51"/>
        <v>337759.41296738386</v>
      </c>
    </row>
    <row r="83" spans="1:19" ht="23.25" customHeight="1">
      <c r="A83" s="28" t="s">
        <v>117</v>
      </c>
      <c r="B83" s="126" t="s">
        <v>69</v>
      </c>
      <c r="C83" s="22">
        <f>C30+C54</f>
        <v>7248616</v>
      </c>
      <c r="D83" s="22">
        <f aca="true" t="shared" si="52" ref="D83:S83">D30+D54</f>
        <v>12970000</v>
      </c>
      <c r="E83" s="22">
        <f t="shared" si="52"/>
        <v>1525049.4099999964</v>
      </c>
      <c r="F83" s="22">
        <f t="shared" si="52"/>
        <v>510062.96510002017</v>
      </c>
      <c r="G83" s="22">
        <f t="shared" si="52"/>
        <v>1719869.1580710262</v>
      </c>
      <c r="H83" s="22">
        <f t="shared" si="52"/>
        <v>1187933.6085522324</v>
      </c>
      <c r="I83" s="22">
        <f t="shared" si="52"/>
        <v>2203681.69963035</v>
      </c>
      <c r="J83" s="22">
        <f t="shared" si="52"/>
        <v>2251982.9242331833</v>
      </c>
      <c r="K83" s="22">
        <f t="shared" si="52"/>
        <v>2389360.323348239</v>
      </c>
      <c r="L83" s="27">
        <f t="shared" si="52"/>
        <v>2402400.1185659915</v>
      </c>
      <c r="M83" s="27">
        <f t="shared" si="52"/>
        <v>2210361.5428896844</v>
      </c>
      <c r="N83" s="27">
        <f t="shared" si="52"/>
        <v>1784986.8738334775</v>
      </c>
      <c r="O83" s="27">
        <f t="shared" si="52"/>
        <v>2381461.6729110777</v>
      </c>
      <c r="P83" s="27">
        <f t="shared" si="52"/>
        <v>2676475.6899222434</v>
      </c>
      <c r="Q83" s="27">
        <f t="shared" si="52"/>
        <v>2659508.130774036</v>
      </c>
      <c r="R83" s="27">
        <f t="shared" si="52"/>
        <v>3180926.187173113</v>
      </c>
      <c r="S83" s="22">
        <f t="shared" si="52"/>
        <v>2429300.324820459</v>
      </c>
    </row>
    <row r="84" spans="1:19" ht="21.75" customHeight="1">
      <c r="A84" s="28" t="s">
        <v>118</v>
      </c>
      <c r="B84" s="126" t="s">
        <v>126</v>
      </c>
      <c r="C84" s="22">
        <f>C43</f>
        <v>1599714</v>
      </c>
      <c r="D84" s="22">
        <f aca="true" t="shared" si="53" ref="D84:S84">D43</f>
        <v>6621470</v>
      </c>
      <c r="E84" s="22">
        <f t="shared" si="53"/>
        <v>2834670</v>
      </c>
      <c r="F84" s="22">
        <f t="shared" si="53"/>
        <v>2936670</v>
      </c>
      <c r="G84" s="22">
        <f t="shared" si="53"/>
        <v>2936670</v>
      </c>
      <c r="H84" s="22">
        <f t="shared" si="53"/>
        <v>2936670</v>
      </c>
      <c r="I84" s="22">
        <f t="shared" si="53"/>
        <v>2936670</v>
      </c>
      <c r="J84" s="22">
        <f t="shared" si="53"/>
        <v>2550470</v>
      </c>
      <c r="K84" s="22">
        <f t="shared" si="53"/>
        <v>2448470</v>
      </c>
      <c r="L84" s="27">
        <f t="shared" si="53"/>
        <v>2448470</v>
      </c>
      <c r="M84" s="27">
        <f t="shared" si="53"/>
        <v>2448470</v>
      </c>
      <c r="N84" s="27">
        <f t="shared" si="53"/>
        <v>1985520</v>
      </c>
      <c r="O84" s="27">
        <f t="shared" si="53"/>
        <v>1658520</v>
      </c>
      <c r="P84" s="27">
        <f t="shared" si="53"/>
        <v>1658542</v>
      </c>
      <c r="Q84" s="27">
        <f t="shared" si="53"/>
        <v>0</v>
      </c>
      <c r="R84" s="27">
        <f t="shared" si="53"/>
        <v>0</v>
      </c>
      <c r="S84" s="22">
        <f t="shared" si="53"/>
        <v>0</v>
      </c>
    </row>
    <row r="85" spans="1:19" ht="27.75" customHeight="1" thickBot="1">
      <c r="A85" s="63" t="s">
        <v>120</v>
      </c>
      <c r="B85" s="125" t="s">
        <v>7</v>
      </c>
      <c r="C85" s="64">
        <f>C83-C84</f>
        <v>5648902</v>
      </c>
      <c r="D85" s="64">
        <f aca="true" t="shared" si="54" ref="D85:S85">D83-D84</f>
        <v>6348530</v>
      </c>
      <c r="E85" s="64">
        <f t="shared" si="54"/>
        <v>-1309620.5900000036</v>
      </c>
      <c r="F85" s="64">
        <f t="shared" si="54"/>
        <v>-2426607.03489998</v>
      </c>
      <c r="G85" s="64">
        <f t="shared" si="54"/>
        <v>-1216800.8419289738</v>
      </c>
      <c r="H85" s="64">
        <f t="shared" si="54"/>
        <v>-1748736.3914477676</v>
      </c>
      <c r="I85" s="64">
        <f t="shared" si="54"/>
        <v>-732988.3003696501</v>
      </c>
      <c r="J85" s="64">
        <f t="shared" si="54"/>
        <v>-298487.07576681674</v>
      </c>
      <c r="K85" s="64">
        <f t="shared" si="54"/>
        <v>-59109.676651760936</v>
      </c>
      <c r="L85" s="82">
        <f t="shared" si="54"/>
        <v>-46069.88143400848</v>
      </c>
      <c r="M85" s="82">
        <f t="shared" si="54"/>
        <v>-238108.45711031556</v>
      </c>
      <c r="N85" s="82">
        <f t="shared" si="54"/>
        <v>-200533.1261665225</v>
      </c>
      <c r="O85" s="82">
        <f t="shared" si="54"/>
        <v>722941.6729110777</v>
      </c>
      <c r="P85" s="82">
        <f t="shared" si="54"/>
        <v>1017933.6899222434</v>
      </c>
      <c r="Q85" s="82">
        <f t="shared" si="54"/>
        <v>2659508.130774036</v>
      </c>
      <c r="R85" s="82">
        <f t="shared" si="54"/>
        <v>3180926.187173113</v>
      </c>
      <c r="S85" s="64">
        <f t="shared" si="54"/>
        <v>2429300.324820459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5" ref="D86:S86">D82+D85</f>
        <v>1015049.4099999964</v>
      </c>
      <c r="E86" s="66">
        <f t="shared" si="55"/>
        <v>510062.96510002017</v>
      </c>
      <c r="F86" s="66">
        <f t="shared" si="55"/>
        <v>1719869.1580710262</v>
      </c>
      <c r="G86" s="66">
        <f t="shared" si="55"/>
        <v>1187933.6085522324</v>
      </c>
      <c r="H86" s="66">
        <f t="shared" si="55"/>
        <v>2203681.69963035</v>
      </c>
      <c r="I86" s="66">
        <f t="shared" si="55"/>
        <v>2251982.9242331833</v>
      </c>
      <c r="J86" s="66">
        <f t="shared" si="55"/>
        <v>2389360.323348239</v>
      </c>
      <c r="K86" s="66">
        <f t="shared" si="55"/>
        <v>2402400.1185659915</v>
      </c>
      <c r="L86" s="83">
        <f t="shared" si="55"/>
        <v>2210361.5428896844</v>
      </c>
      <c r="M86" s="83">
        <f t="shared" si="55"/>
        <v>1784986.8738334775</v>
      </c>
      <c r="N86" s="83">
        <f t="shared" si="55"/>
        <v>2381461.6729110777</v>
      </c>
      <c r="O86" s="83">
        <f t="shared" si="55"/>
        <v>2676475.6899222434</v>
      </c>
      <c r="P86" s="83">
        <f t="shared" si="55"/>
        <v>2659508.130774036</v>
      </c>
      <c r="Q86" s="83">
        <f t="shared" si="55"/>
        <v>3180926.187173113</v>
      </c>
      <c r="R86" s="83">
        <f t="shared" si="55"/>
        <v>2429300.324820459</v>
      </c>
      <c r="S86" s="96">
        <f t="shared" si="55"/>
        <v>2767059.7377878428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41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</row>
    <row r="109" spans="11:28" ht="12.75"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/>
      <c r="W109"/>
      <c r="X109"/>
      <c r="Y109"/>
      <c r="Z109"/>
      <c r="AA109"/>
      <c r="AB109"/>
    </row>
    <row r="110" spans="11:28" ht="12.75">
      <c r="K110" s="134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</row>
    <row r="111" spans="11:29" ht="12.75">
      <c r="K111" s="134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</row>
    <row r="112" spans="11:29" ht="12.75">
      <c r="K112" s="134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</row>
    <row r="113" spans="11:29" ht="82.5" customHeight="1">
      <c r="K113" s="134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</row>
    <row r="114" spans="11:28" ht="12.75">
      <c r="K114" s="134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/>
      <c r="W114"/>
      <c r="X114"/>
      <c r="Y114"/>
      <c r="Z114"/>
      <c r="AA114"/>
      <c r="AB114"/>
    </row>
    <row r="115" spans="11:28" ht="12.75">
      <c r="K115" s="136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/>
      <c r="W115"/>
      <c r="X115"/>
      <c r="Y115"/>
      <c r="Z115"/>
      <c r="AA115"/>
      <c r="AB115"/>
    </row>
  </sheetData>
  <sheetProtection/>
  <protectedRanges>
    <protectedRange sqref="C21:C22 C23:S28 E21:S21" name="Zakres4"/>
    <protectedRange sqref="E78:L78 C79:C86 D77:D79 E44:G45 C56:L57 C77 C30:C34 D34:L34 D33:G33 E79:G79 C39:G40 E77:G77 C61:S61 E42:G42 C42:D45 C58:G58 C51:G51 C54:G55 M37:Q37 C41:S41 M38:S38 C46:S46 M56:S56 D80:S86 D30 C35:L38 M34:S36 F30:K30 D31:S32 C66:G66 C64:O65 C48:S50 C60:G60 C62:F62 C63:G63 E43:S43 C59:S59 C52:S53 C67:S76 Q64:S65 Q62:S62 C47:H47 J62:M62 O62" name="Zakres2"/>
    <protectedRange sqref="C13:S15 C20:S20 C9:S11" name="Zakres1"/>
    <protectedRange sqref="T30:U30 T34:U38 T32:U32 K109:L109 K113:L115 K111:L111" name="Zakres2_1"/>
  </protectedRanges>
  <mergeCells count="30">
    <mergeCell ref="F1:G1"/>
    <mergeCell ref="F2:G2"/>
    <mergeCell ref="C5:C6"/>
    <mergeCell ref="E5:S5"/>
    <mergeCell ref="J1:S1"/>
    <mergeCell ref="L4:S4"/>
    <mergeCell ref="A49:A51"/>
    <mergeCell ref="T29:AK29"/>
    <mergeCell ref="T31:AK31"/>
    <mergeCell ref="T32:AL32"/>
    <mergeCell ref="T33:AL33"/>
    <mergeCell ref="T34:AL34"/>
    <mergeCell ref="A77:A78"/>
    <mergeCell ref="A62:A65"/>
    <mergeCell ref="D77:L77"/>
    <mergeCell ref="T37:AD38"/>
    <mergeCell ref="T39:AD39"/>
    <mergeCell ref="T5:U5"/>
    <mergeCell ref="T40:AD40"/>
    <mergeCell ref="A24:A27"/>
    <mergeCell ref="T35:AD36"/>
    <mergeCell ref="A5:B6"/>
    <mergeCell ref="K111:AC111"/>
    <mergeCell ref="K112:AC112"/>
    <mergeCell ref="K113:AC113"/>
    <mergeCell ref="K114:U115"/>
    <mergeCell ref="B77:B78"/>
    <mergeCell ref="C77:C78"/>
    <mergeCell ref="K108:AB108"/>
    <mergeCell ref="K110:AB110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skarbnik</cp:lastModifiedBy>
  <cp:lastPrinted>2011-04-19T14:31:49Z</cp:lastPrinted>
  <dcterms:created xsi:type="dcterms:W3CDTF">2004-10-05T07:26:56Z</dcterms:created>
  <dcterms:modified xsi:type="dcterms:W3CDTF">2011-04-19T14:31:54Z</dcterms:modified>
  <cp:category/>
  <cp:version/>
  <cp:contentType/>
  <cp:contentStatus/>
</cp:coreProperties>
</file>