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856" activeTab="0"/>
  </bookViews>
  <sheets>
    <sheet name="Prognoza długu " sheetId="1" r:id="rId1"/>
  </sheets>
  <definedNames>
    <definedName name="_xlnm.Print_Area" localSheetId="0">'Prognoza długu '!$A$1:$AL$94</definedName>
    <definedName name="_xlnm.Print_Titles" localSheetId="0">'Prognoza długu '!$5:$6</definedName>
  </definedNames>
  <calcPr fullCalcOnLoad="1"/>
</workbook>
</file>

<file path=xl/sharedStrings.xml><?xml version="1.0" encoding="utf-8"?>
<sst xmlns="http://schemas.openxmlformats.org/spreadsheetml/2006/main" count="218" uniqueCount="153">
  <si>
    <t>z tego:</t>
  </si>
  <si>
    <t>Dochody majątkowe (a+b+c)</t>
  </si>
  <si>
    <t>Dochody ogółem (1.1+1.2)</t>
  </si>
  <si>
    <t>dotacje i środki pozyskane z różnych źródeł  (dotacje na zadania własne, zlecone, powierzone i inne pozyskane z różnych źródeł)</t>
  </si>
  <si>
    <t>gwarancje i poręczenia (bez ujętych w przedsięwzięciach)</t>
  </si>
  <si>
    <t>Przychody niezwiększające długu</t>
  </si>
  <si>
    <t>Wydatki ogółem(2+6.1+9)</t>
  </si>
  <si>
    <t>Przychody - rozchody</t>
  </si>
  <si>
    <t>Wydatki majątkowe</t>
  </si>
  <si>
    <t>1.1.</t>
  </si>
  <si>
    <t>1.2.</t>
  </si>
  <si>
    <t>a</t>
  </si>
  <si>
    <t>b</t>
  </si>
  <si>
    <t>c</t>
  </si>
  <si>
    <t>2.1.</t>
  </si>
  <si>
    <t>2.2.</t>
  </si>
  <si>
    <t>wydatki związane z funkcjonowaniem organów j.s.t.</t>
  </si>
  <si>
    <t>wynagrodzenia i składki od nich naliczane</t>
  </si>
  <si>
    <t>2.3.</t>
  </si>
  <si>
    <t>pozostałe programy, projekty, zadania - bieżące</t>
  </si>
  <si>
    <t>wieloletnie umowy niezbędne do zapewnienia ciągłości</t>
  </si>
  <si>
    <t>wieloletnie umowy o partnerstwie publiczno-prywatnym</t>
  </si>
  <si>
    <t>2.4.</t>
  </si>
  <si>
    <t>pozostałe wydatki bieżące</t>
  </si>
  <si>
    <t>Wynik budżetu po wykonaniu wydatków bieżących bez obsługi długu (1-2)</t>
  </si>
  <si>
    <t>3.</t>
  </si>
  <si>
    <t>nadwyżki budżetowe z lat poprzednich</t>
  </si>
  <si>
    <t>4.</t>
  </si>
  <si>
    <t>4.1.</t>
  </si>
  <si>
    <t>4.2.</t>
  </si>
  <si>
    <t>4.3.</t>
  </si>
  <si>
    <t>5.</t>
  </si>
  <si>
    <t>6.</t>
  </si>
  <si>
    <t>6.1.</t>
  </si>
  <si>
    <t>6.1.1.</t>
  </si>
  <si>
    <t>odsetki i dyskonto</t>
  </si>
  <si>
    <t>6.1.3.</t>
  </si>
  <si>
    <t>6.1.2.</t>
  </si>
  <si>
    <t>podlegające wyłączeniu (w związku z umową zawartą na realizację projektu z udziałem środków, o których mowa w art.5 ust.1 pkt 2 ufp)</t>
  </si>
  <si>
    <t>6.2.</t>
  </si>
  <si>
    <t>7.</t>
  </si>
  <si>
    <t>8.</t>
  </si>
  <si>
    <t>9</t>
  </si>
  <si>
    <t>9.</t>
  </si>
  <si>
    <t>9.1.</t>
  </si>
  <si>
    <t>pozostałe wieloletnie programy, projekty, zadania</t>
  </si>
  <si>
    <t>9.2.</t>
  </si>
  <si>
    <t>pozostałe wydatki majątkowe</t>
  </si>
  <si>
    <t>10.</t>
  </si>
  <si>
    <t>11.</t>
  </si>
  <si>
    <t>Wynik finansowy budżetu (8-9+10)</t>
  </si>
  <si>
    <t>12.</t>
  </si>
  <si>
    <t>Kwota długu na koniec roku</t>
  </si>
  <si>
    <t>podlegająca wyłączeniu (w związku z umową zawartą na realizację projektu z udziałem środków, o których mowa w art.5 ust.1 pkt 2 ufp)</t>
  </si>
  <si>
    <t>13.</t>
  </si>
  <si>
    <t>Kwota spłaty długu</t>
  </si>
  <si>
    <t>14.</t>
  </si>
  <si>
    <t>Sposób sfinansowania spłaty długu (zgodna z kwotą wykazaną w poz.13)</t>
  </si>
  <si>
    <t>- nadwyżki budżetowe</t>
  </si>
  <si>
    <t>- wolne środki</t>
  </si>
  <si>
    <t>- przychody z tytułu kredytów, pożyczek, emitowanych papierów wartościowych</t>
  </si>
  <si>
    <t>15.</t>
  </si>
  <si>
    <t>relacja, o której mowa w art.169 ustawy z 30 czerwca 2005r. o finansach publicznych (bez wyłączeń)</t>
  </si>
  <si>
    <t>relacja, o której mowa w art.169 ustawy z 30 czerwca 2005r. o finansach publicznych po wyłączeniach (max. 15%)</t>
  </si>
  <si>
    <t>relacja, o której mowa w art.170 ustawy z 30 czerwca 2005r. o finansach publicznych (bez wyłączeń)</t>
  </si>
  <si>
    <t>relacja, o której mowa w art.170 ustawy z 30 czerwca 2005r. o finansach publicznych po wyłączeniach (max. 60%)</t>
  </si>
  <si>
    <t>relacja, o której mowa w art.243 ust.1 ustawy z 27 sierpnia 2009r. o finansach publicznych po wyłączeniach (bez długu związku)</t>
  </si>
  <si>
    <t>Dochody ogółem</t>
  </si>
  <si>
    <t>Wynik budżetu (nadwyżka + / deficyt -)</t>
  </si>
  <si>
    <t>Przychody ogółem</t>
  </si>
  <si>
    <t>Lp.</t>
  </si>
  <si>
    <t>Prognoza</t>
  </si>
  <si>
    <t>4</t>
  </si>
  <si>
    <t>5</t>
  </si>
  <si>
    <t>6</t>
  </si>
  <si>
    <t>7</t>
  </si>
  <si>
    <t>8</t>
  </si>
  <si>
    <t>10</t>
  </si>
  <si>
    <t>11</t>
  </si>
  <si>
    <t>12</t>
  </si>
  <si>
    <t>przedsięwzięcia, o których mowa w art.226 ust.4 ufp (wydatki bieżące z wyłączeniem wieloletnich gwarancji i poręczeń)</t>
  </si>
  <si>
    <t>wieloletnie gwarancje i poręczenia będące przedsięwzięciami , o których mowa w art.226 ust.4 ufp</t>
  </si>
  <si>
    <t>przedsięwzięcia, o których mowa w art.226 ust.4 ufp (wydatki majątkowe)</t>
  </si>
  <si>
    <t>Wydatki bieżące (bez wydatków związanych z obsługą długu)</t>
  </si>
  <si>
    <t>wieloletnie programy finansowane z udziałem środków, o których mowa w art.5 ust.1 pkt 2 i 3 ufp</t>
  </si>
  <si>
    <t>spełnienie relacji, o której mowa w art.243 ust.1 ustawy z 27 sierpnia 2009r. w % L&lt;=P</t>
  </si>
  <si>
    <r>
      <t xml:space="preserve">indywidualny limit zadłużenia, o którym mowa w art.243 ust.1 ustawy z 27 sierpnia 2009r. o finansach publicznych w % (średnia z trzech poprzednich lat) - </t>
    </r>
    <r>
      <rPr>
        <b/>
        <sz val="10"/>
        <rFont val="Arial Narrow"/>
        <family val="2"/>
      </rPr>
      <t>prawa strona</t>
    </r>
  </si>
  <si>
    <r>
      <t xml:space="preserve">relacja, o której mowa w art.243 ust.1 ustawy z 27 sierpnia 2009r. o finansach publicznych w % (bez wyłączeń i kwoty długu związku) - </t>
    </r>
    <r>
      <rPr>
        <b/>
        <sz val="10"/>
        <rFont val="Arial Narrow"/>
        <family val="2"/>
      </rPr>
      <t>lewa strona;</t>
    </r>
    <r>
      <rPr>
        <sz val="10"/>
        <rFont val="Arial Narrow"/>
        <family val="2"/>
      </rPr>
      <t xml:space="preserve"> (R+O)/D</t>
    </r>
  </si>
  <si>
    <r>
      <t xml:space="preserve">relacja bazowa do wyliczenia indywidualnego limitu zadłużenia                </t>
    </r>
    <r>
      <rPr>
        <b/>
        <sz val="10"/>
        <rFont val="Arial Narrow"/>
        <family val="2"/>
      </rPr>
      <t>(Db+Sm-Wb)/D</t>
    </r>
  </si>
  <si>
    <t>III+IV</t>
  </si>
  <si>
    <t>Załącznik nr 1</t>
  </si>
  <si>
    <t>Wyszczególnienie</t>
  </si>
  <si>
    <t>2.</t>
  </si>
  <si>
    <t>w złotych</t>
  </si>
  <si>
    <t>I</t>
  </si>
  <si>
    <t>II</t>
  </si>
  <si>
    <t>dochody z tytułu przekształcenia prawa użytkowania wieczystego w prawo własności</t>
  </si>
  <si>
    <t>Przychody zwiększające dług (nowo zaciągane kredyty, pożyczki, emitowane papiery)</t>
  </si>
  <si>
    <r>
      <t>Dochody bieżące;</t>
    </r>
    <r>
      <rPr>
        <b/>
        <sz val="10"/>
        <rFont val="Arial Narrow"/>
        <family val="2"/>
      </rPr>
      <t>Db</t>
    </r>
    <r>
      <rPr>
        <sz val="10"/>
        <rFont val="Arial Narrow"/>
        <family val="2"/>
      </rPr>
      <t>(a+b+c)</t>
    </r>
  </si>
  <si>
    <r>
      <t xml:space="preserve">dochody ze sprzedaży majątku </t>
    </r>
    <r>
      <rPr>
        <b/>
        <sz val="10"/>
        <rFont val="Arial Narrow"/>
        <family val="2"/>
      </rPr>
      <t>Sm</t>
    </r>
  </si>
  <si>
    <r>
      <t>Wydatki bieżące ;</t>
    </r>
    <r>
      <rPr>
        <b/>
        <sz val="10"/>
        <rFont val="Arial Narrow"/>
        <family val="2"/>
      </rPr>
      <t>Wb</t>
    </r>
    <r>
      <rPr>
        <sz val="10"/>
        <rFont val="Arial Narrow"/>
        <family val="2"/>
      </rPr>
      <t>(2+6.1)</t>
    </r>
  </si>
  <si>
    <t>W</t>
  </si>
  <si>
    <t>Środki do dyspozycji - źródło finansowania spłaty długu i wydatków majątkowych (3+4)</t>
  </si>
  <si>
    <t>Obsługa długu (wydatki i rozchody) R+O</t>
  </si>
  <si>
    <r>
      <t xml:space="preserve">wydatki związane z obsługą długu; </t>
    </r>
    <r>
      <rPr>
        <b/>
        <sz val="10"/>
        <rFont val="Arial Narrow"/>
        <family val="2"/>
      </rPr>
      <t>O</t>
    </r>
  </si>
  <si>
    <r>
      <t>Rozchody zmniejszające dług (spłata rat kredytów i pożyczek, wykup papierów);</t>
    </r>
    <r>
      <rPr>
        <b/>
        <sz val="10"/>
        <rFont val="Arial Narrow"/>
        <family val="2"/>
      </rPr>
      <t>R</t>
    </r>
  </si>
  <si>
    <t>Środki do dyspozycji na finansowanie wydatków majątkowych (5-6-7)</t>
  </si>
  <si>
    <t>15.1.</t>
  </si>
  <si>
    <t>15.2.</t>
  </si>
  <si>
    <t>15.3.</t>
  </si>
  <si>
    <t>15.4.</t>
  </si>
  <si>
    <t>15.5.</t>
  </si>
  <si>
    <t>III</t>
  </si>
  <si>
    <t>Wydatki ogółem</t>
  </si>
  <si>
    <t>Prognoza w latach</t>
  </si>
  <si>
    <t>dotacje i środki na realizację przedsięwzięć</t>
  </si>
  <si>
    <t>wydatki wynikające z limitów wydatków na przedsięwzięcia</t>
  </si>
  <si>
    <t>IV</t>
  </si>
  <si>
    <t>V</t>
  </si>
  <si>
    <t>wolne środki</t>
  </si>
  <si>
    <t>VI</t>
  </si>
  <si>
    <t>1</t>
  </si>
  <si>
    <t>2</t>
  </si>
  <si>
    <t>3</t>
  </si>
  <si>
    <t>dochody własne</t>
  </si>
  <si>
    <t>subwencje</t>
  </si>
  <si>
    <t>Rozchody ogółem</t>
  </si>
  <si>
    <t>Wb</t>
  </si>
  <si>
    <t>Db+Sm-Wb</t>
  </si>
  <si>
    <t>Tabela 3.Wskaźniki  do wieloletniej prognozy finansowej</t>
  </si>
  <si>
    <t>2012 /2011</t>
  </si>
  <si>
    <t>2013 /2012</t>
  </si>
  <si>
    <t>2014 /2013</t>
  </si>
  <si>
    <t>2015 /2014</t>
  </si>
  <si>
    <t>2016 /2015</t>
  </si>
  <si>
    <t>2017 /2016</t>
  </si>
  <si>
    <t>2018 /2017</t>
  </si>
  <si>
    <t>2019 /2018</t>
  </si>
  <si>
    <t>2020 /2019</t>
  </si>
  <si>
    <t>wyliczenie</t>
  </si>
  <si>
    <t>2021/2020</t>
  </si>
  <si>
    <t>2022/2021</t>
  </si>
  <si>
    <t>2023/2022</t>
  </si>
  <si>
    <t>2024/2023</t>
  </si>
  <si>
    <t>2025/2024</t>
  </si>
  <si>
    <t>2026/2025</t>
  </si>
  <si>
    <t>2027/2026</t>
  </si>
  <si>
    <t>prywatyzacja majątku, sprzedaż papierów wartościowych i spłaty udzielonych pożyczek</t>
  </si>
  <si>
    <t>TAK</t>
  </si>
  <si>
    <t>Pozostałe rozchody (z wyłączeniem spłat długu)</t>
  </si>
  <si>
    <t>Wskaźniki zadłużenia</t>
  </si>
  <si>
    <t>Plan na 2011</t>
  </si>
  <si>
    <t>Wieloletnia Prognoza Finansowa wraz z prognozą kwoty długu na lata 2011-2027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</si>
</sst>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23"/>
      <name val="Arial Narrow"/>
      <family val="2"/>
    </font>
    <font>
      <sz val="10"/>
      <color theme="0" tint="-0.4999699890613556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2" fillId="0" borderId="0" xfId="55" applyFont="1" applyAlignme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/>
      <protection/>
    </xf>
    <xf numFmtId="0" fontId="22" fillId="0" borderId="10" xfId="55" applyFont="1" applyBorder="1" applyAlignment="1" quotePrefix="1">
      <alignment horizontal="center" vertical="center" wrapText="1"/>
      <protection/>
    </xf>
    <xf numFmtId="1" fontId="22" fillId="0" borderId="10" xfId="55" applyNumberFormat="1" applyFont="1" applyBorder="1" applyAlignment="1" quotePrefix="1">
      <alignment horizontal="center" vertical="center" wrapText="1"/>
      <protection/>
    </xf>
    <xf numFmtId="3" fontId="22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Border="1" applyAlignment="1">
      <alignment horizontal="right" vertical="center" wrapText="1"/>
      <protection/>
    </xf>
    <xf numFmtId="3" fontId="22" fillId="0" borderId="10" xfId="55" applyNumberFormat="1" applyFont="1" applyBorder="1" applyAlignment="1" quotePrefix="1">
      <alignment vertical="center" wrapText="1"/>
      <protection/>
    </xf>
    <xf numFmtId="3" fontId="22" fillId="0" borderId="10" xfId="55" applyNumberFormat="1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3" fontId="24" fillId="20" borderId="10" xfId="55" applyNumberFormat="1" applyFont="1" applyFill="1" applyBorder="1" applyAlignment="1">
      <alignment vertical="center"/>
      <protection/>
    </xf>
    <xf numFmtId="0" fontId="0" fillId="0" borderId="0" xfId="55" applyAlignment="1">
      <alignment horizontal="center"/>
      <protection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55" applyFont="1">
      <alignment/>
      <protection/>
    </xf>
    <xf numFmtId="3" fontId="22" fillId="0" borderId="11" xfId="55" applyNumberFormat="1" applyFont="1" applyBorder="1" applyAlignment="1">
      <alignment horizontal="right" vertical="center" wrapText="1"/>
      <protection/>
    </xf>
    <xf numFmtId="0" fontId="22" fillId="0" borderId="11" xfId="55" applyFont="1" applyBorder="1" applyAlignment="1">
      <alignment vertical="center"/>
      <protection/>
    </xf>
    <xf numFmtId="3" fontId="24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7" fillId="0" borderId="0" xfId="55" applyFont="1">
      <alignment/>
      <protection/>
    </xf>
    <xf numFmtId="3" fontId="24" fillId="20" borderId="10" xfId="55" applyNumberFormat="1" applyFont="1" applyFill="1" applyBorder="1" applyAlignment="1">
      <alignment vertical="center" wrapText="1"/>
      <protection/>
    </xf>
    <xf numFmtId="3" fontId="24" fillId="20" borderId="10" xfId="55" applyNumberFormat="1" applyFont="1" applyFill="1" applyBorder="1" applyAlignment="1">
      <alignment horizontal="right" vertical="center" wrapText="1"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55" applyAlignment="1">
      <alignment horizontal="center" vertical="center"/>
      <protection/>
    </xf>
    <xf numFmtId="0" fontId="24" fillId="20" borderId="11" xfId="55" applyFont="1" applyFill="1" applyBorder="1" applyAlignment="1">
      <alignment vertical="center"/>
      <protection/>
    </xf>
    <xf numFmtId="0" fontId="22" fillId="24" borderId="10" xfId="55" applyFont="1" applyFill="1" applyBorder="1" applyAlignment="1" quotePrefix="1">
      <alignment horizontal="center" vertical="center" wrapText="1"/>
      <protection/>
    </xf>
    <xf numFmtId="3" fontId="24" fillId="20" borderId="11" xfId="55" applyNumberFormat="1" applyFont="1" applyFill="1" applyBorder="1" applyAlignment="1">
      <alignment vertical="center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10" fontId="22" fillId="0" borderId="10" xfId="55" applyNumberFormat="1" applyFont="1" applyFill="1" applyBorder="1" applyAlignment="1">
      <alignment horizontal="right" vertical="center" wrapText="1"/>
      <protection/>
    </xf>
    <xf numFmtId="3" fontId="24" fillId="0" borderId="10" xfId="55" applyNumberFormat="1" applyFont="1" applyFill="1" applyBorder="1" applyAlignment="1">
      <alignment horizontal="right" vertical="center" wrapText="1"/>
      <protection/>
    </xf>
    <xf numFmtId="3" fontId="24" fillId="20" borderId="11" xfId="55" applyNumberFormat="1" applyFont="1" applyFill="1" applyBorder="1" applyAlignment="1">
      <alignment horizontal="right" vertical="center" wrapText="1"/>
      <protection/>
    </xf>
    <xf numFmtId="3" fontId="22" fillId="25" borderId="10" xfId="55" applyNumberFormat="1" applyFont="1" applyFill="1" applyBorder="1" applyAlignment="1">
      <alignment vertical="center" wrapText="1"/>
      <protection/>
    </xf>
    <xf numFmtId="0" fontId="0" fillId="0" borderId="0" xfId="55" applyFont="1">
      <alignment/>
      <protection/>
    </xf>
    <xf numFmtId="0" fontId="22" fillId="0" borderId="10" xfId="55" applyFont="1" applyBorder="1" applyAlignment="1">
      <alignment horizontal="center" vertical="center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2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2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0" borderId="10" xfId="55" applyNumberFormat="1" applyFont="1" applyFill="1" applyBorder="1" applyAlignment="1">
      <alignment horizontal="center" vertical="center" wrapText="1"/>
      <protection/>
    </xf>
    <xf numFmtId="0" fontId="0" fillId="25" borderId="0" xfId="55" applyFont="1" applyFill="1" applyAlignment="1">
      <alignment horizontal="center" vertical="center"/>
      <protection/>
    </xf>
    <xf numFmtId="49" fontId="22" fillId="25" borderId="10" xfId="55" applyNumberFormat="1" applyFont="1" applyFill="1" applyBorder="1" applyAlignment="1">
      <alignment horizontal="center" vertical="center" wrapText="1"/>
      <protection/>
    </xf>
    <xf numFmtId="49" fontId="22" fillId="25" borderId="10" xfId="55" applyNumberFormat="1" applyFont="1" applyFill="1" applyBorder="1" applyAlignment="1">
      <alignment horizontal="center" vertical="center"/>
      <protection/>
    </xf>
    <xf numFmtId="10" fontId="24" fillId="0" borderId="10" xfId="55" applyNumberFormat="1" applyFont="1" applyFill="1" applyBorder="1" applyAlignment="1">
      <alignment horizontal="righ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3" fontId="24" fillId="0" borderId="12" xfId="55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Fill="1" applyBorder="1" applyAlignment="1">
      <alignment horizontal="center" vertical="top" wrapText="1"/>
    </xf>
    <xf numFmtId="3" fontId="24" fillId="0" borderId="15" xfId="55" applyNumberFormat="1" applyFont="1" applyFill="1" applyBorder="1" applyAlignment="1">
      <alignment horizontal="right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2" fillId="0" borderId="11" xfId="55" applyFont="1" applyBorder="1" applyAlignment="1">
      <alignment horizontal="center" vertical="center"/>
      <protection/>
    </xf>
    <xf numFmtId="3" fontId="24" fillId="20" borderId="11" xfId="55" applyNumberFormat="1" applyFont="1" applyFill="1" applyBorder="1" applyAlignment="1">
      <alignment vertical="center" wrapText="1"/>
      <protection/>
    </xf>
    <xf numFmtId="3" fontId="22" fillId="0" borderId="11" xfId="55" applyNumberFormat="1" applyFont="1" applyBorder="1" applyAlignment="1" quotePrefix="1">
      <alignment vertical="center" wrapText="1"/>
      <protection/>
    </xf>
    <xf numFmtId="3" fontId="22" fillId="0" borderId="11" xfId="55" applyNumberFormat="1" applyFont="1" applyBorder="1" applyAlignment="1">
      <alignment vertical="center"/>
      <protection/>
    </xf>
    <xf numFmtId="3" fontId="22" fillId="0" borderId="11" xfId="55" applyNumberFormat="1" applyFont="1" applyBorder="1" applyAlignment="1">
      <alignment vertical="center" wrapText="1"/>
      <protection/>
    </xf>
    <xf numFmtId="3" fontId="22" fillId="25" borderId="11" xfId="55" applyNumberFormat="1" applyFont="1" applyFill="1" applyBorder="1" applyAlignment="1">
      <alignment vertical="center" wrapText="1"/>
      <protection/>
    </xf>
    <xf numFmtId="3" fontId="24" fillId="0" borderId="11" xfId="55" applyNumberFormat="1" applyFont="1" applyBorder="1" applyAlignment="1">
      <alignment vertical="center" wrapText="1"/>
      <protection/>
    </xf>
    <xf numFmtId="3" fontId="22" fillId="0" borderId="11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/>
      <protection/>
    </xf>
    <xf numFmtId="10" fontId="22" fillId="0" borderId="11" xfId="55" applyNumberFormat="1" applyFont="1" applyFill="1" applyBorder="1" applyAlignment="1">
      <alignment horizontal="right" vertical="center" wrapText="1"/>
      <protection/>
    </xf>
    <xf numFmtId="10" fontId="24" fillId="0" borderId="11" xfId="55" applyNumberFormat="1" applyFont="1" applyFill="1" applyBorder="1" applyAlignment="1">
      <alignment horizontal="right" vertical="center" wrapText="1"/>
      <protection/>
    </xf>
    <xf numFmtId="49" fontId="24" fillId="20" borderId="11" xfId="55" applyNumberFormat="1" applyFont="1" applyFill="1" applyBorder="1" applyAlignment="1">
      <alignment horizontal="center" vertical="center" wrapText="1"/>
      <protection/>
    </xf>
    <xf numFmtId="49" fontId="22" fillId="25" borderId="11" xfId="55" applyNumberFormat="1" applyFont="1" applyFill="1" applyBorder="1" applyAlignment="1">
      <alignment horizontal="center" vertical="center"/>
      <protection/>
    </xf>
    <xf numFmtId="3" fontId="24" fillId="0" borderId="11" xfId="55" applyNumberFormat="1" applyFont="1" applyFill="1" applyBorder="1" applyAlignment="1">
      <alignment horizontal="right" vertical="center" wrapText="1"/>
      <protection/>
    </xf>
    <xf numFmtId="3" fontId="24" fillId="0" borderId="17" xfId="55" applyNumberFormat="1" applyFont="1" applyFill="1" applyBorder="1" applyAlignment="1">
      <alignment horizontal="right" vertical="center" wrapText="1"/>
      <protection/>
    </xf>
    <xf numFmtId="3" fontId="24" fillId="0" borderId="18" xfId="55" applyNumberFormat="1" applyFont="1" applyFill="1" applyBorder="1" applyAlignment="1">
      <alignment horizontal="right" vertical="center" wrapText="1"/>
      <protection/>
    </xf>
    <xf numFmtId="0" fontId="24" fillId="0" borderId="11" xfId="55" applyFont="1" applyBorder="1" applyAlignment="1">
      <alignment vertical="center" wrapText="1"/>
      <protection/>
    </xf>
    <xf numFmtId="0" fontId="22" fillId="0" borderId="10" xfId="55" applyFont="1" applyBorder="1">
      <alignment/>
      <protection/>
    </xf>
    <xf numFmtId="0" fontId="22" fillId="0" borderId="11" xfId="55" applyFont="1" applyBorder="1">
      <alignment/>
      <protection/>
    </xf>
    <xf numFmtId="0" fontId="22" fillId="26" borderId="10" xfId="55" applyFont="1" applyFill="1" applyBorder="1">
      <alignment/>
      <protection/>
    </xf>
    <xf numFmtId="0" fontId="22" fillId="26" borderId="11" xfId="55" applyFont="1" applyFill="1" applyBorder="1">
      <alignment/>
      <protection/>
    </xf>
    <xf numFmtId="0" fontId="22" fillId="25" borderId="10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3" fontId="22" fillId="27" borderId="10" xfId="55" applyNumberFormat="1" applyFont="1" applyFill="1" applyBorder="1" applyAlignment="1">
      <alignment horizontal="right" vertical="center" wrapText="1"/>
      <protection/>
    </xf>
    <xf numFmtId="0" fontId="24" fillId="26" borderId="10" xfId="55" applyFont="1" applyFill="1" applyBorder="1" applyAlignment="1">
      <alignment horizontal="center" vertical="center"/>
      <protection/>
    </xf>
    <xf numFmtId="0" fontId="24" fillId="26" borderId="11" xfId="55" applyFont="1" applyFill="1" applyBorder="1" applyAlignment="1">
      <alignment horizontal="center" vertical="center"/>
      <protection/>
    </xf>
    <xf numFmtId="3" fontId="24" fillId="0" borderId="19" xfId="55" applyNumberFormat="1" applyFont="1" applyFill="1" applyBorder="1" applyAlignment="1">
      <alignment horizontal="right" vertical="center" wrapText="1"/>
      <protection/>
    </xf>
    <xf numFmtId="3" fontId="24" fillId="26" borderId="10" xfId="55" applyNumberFormat="1" applyFont="1" applyFill="1" applyBorder="1">
      <alignment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0" xfId="55" applyFont="1" applyBorder="1">
      <alignment/>
      <protection/>
    </xf>
    <xf numFmtId="0" fontId="24" fillId="0" borderId="0" xfId="55" applyFont="1">
      <alignment/>
      <protection/>
    </xf>
    <xf numFmtId="0" fontId="24" fillId="25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9" fontId="0" fillId="0" borderId="10" xfId="55" applyNumberFormat="1" applyFont="1" applyBorder="1">
      <alignment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4" fillId="25" borderId="0" xfId="55" applyFont="1" applyFill="1" applyBorder="1" applyAlignment="1">
      <alignment vertical="center" wrapText="1"/>
      <protection/>
    </xf>
    <xf numFmtId="0" fontId="24" fillId="25" borderId="21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25" borderId="0" xfId="55" applyFont="1" applyFill="1" applyBorder="1" applyAlignment="1">
      <alignment vertical="center"/>
      <protection/>
    </xf>
    <xf numFmtId="0" fontId="0" fillId="0" borderId="0" xfId="55" applyBorder="1">
      <alignment/>
      <protection/>
    </xf>
    <xf numFmtId="3" fontId="22" fillId="26" borderId="10" xfId="55" applyNumberFormat="1" applyFont="1" applyFill="1" applyBorder="1" applyAlignment="1">
      <alignment horizontal="right" vertical="center" wrapText="1"/>
      <protection/>
    </xf>
    <xf numFmtId="3" fontId="22" fillId="26" borderId="10" xfId="55" applyNumberFormat="1" applyFont="1" applyFill="1" applyBorder="1" applyAlignment="1">
      <alignment vertical="center"/>
      <protection/>
    </xf>
    <xf numFmtId="3" fontId="22" fillId="26" borderId="11" xfId="55" applyNumberFormat="1" applyFont="1" applyFill="1" applyBorder="1" applyAlignment="1">
      <alignment vertical="center"/>
      <protection/>
    </xf>
    <xf numFmtId="10" fontId="0" fillId="0" borderId="10" xfId="55" applyNumberFormat="1" applyFont="1" applyBorder="1">
      <alignment/>
      <protection/>
    </xf>
    <xf numFmtId="10" fontId="0" fillId="20" borderId="10" xfId="55" applyNumberFormat="1" applyFont="1" applyFill="1" applyBorder="1">
      <alignment/>
      <protection/>
    </xf>
    <xf numFmtId="3" fontId="22" fillId="27" borderId="10" xfId="55" applyNumberFormat="1" applyFont="1" applyFill="1" applyBorder="1" applyAlignment="1">
      <alignment vertical="center"/>
      <protection/>
    </xf>
    <xf numFmtId="3" fontId="22" fillId="27" borderId="11" xfId="55" applyNumberFormat="1" applyFont="1" applyFill="1" applyBorder="1" applyAlignment="1">
      <alignment vertical="center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2" fillId="0" borderId="12" xfId="55" applyNumberFormat="1" applyFont="1" applyBorder="1" applyAlignment="1">
      <alignment horizontal="right" vertical="center" wrapText="1"/>
      <protection/>
    </xf>
    <xf numFmtId="3" fontId="24" fillId="20" borderId="13" xfId="55" applyNumberFormat="1" applyFont="1" applyFill="1" applyBorder="1" applyAlignment="1">
      <alignment horizontal="righ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9" fillId="26" borderId="13" xfId="55" applyFont="1" applyFill="1" applyBorder="1" applyAlignment="1">
      <alignment horizontal="center" vertical="center"/>
      <protection/>
    </xf>
    <xf numFmtId="0" fontId="29" fillId="26" borderId="23" xfId="55" applyFont="1" applyFill="1" applyBorder="1" applyAlignment="1">
      <alignment horizontal="center" vertical="center"/>
      <protection/>
    </xf>
    <xf numFmtId="0" fontId="22" fillId="26" borderId="13" xfId="55" applyFont="1" applyFill="1" applyBorder="1" applyAlignment="1">
      <alignment horizontal="center" vertical="center"/>
      <protection/>
    </xf>
    <xf numFmtId="3" fontId="22" fillId="0" borderId="0" xfId="55" applyNumberFormat="1" applyFont="1" applyFill="1" applyBorder="1" applyAlignment="1">
      <alignment horizontal="center" vertical="center" wrapText="1"/>
      <protection/>
    </xf>
    <xf numFmtId="3" fontId="22" fillId="25" borderId="24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49" fontId="24" fillId="20" borderId="24" xfId="0" applyNumberFormat="1" applyFont="1" applyFill="1" applyBorder="1" applyAlignment="1">
      <alignment horizontal="center" vertical="center" wrapText="1"/>
    </xf>
    <xf numFmtId="49" fontId="24" fillId="20" borderId="23" xfId="0" applyNumberFormat="1" applyFont="1" applyFill="1" applyBorder="1" applyAlignment="1">
      <alignment horizontal="center" vertical="center" wrapText="1"/>
    </xf>
    <xf numFmtId="49" fontId="24" fillId="20" borderId="20" xfId="55" applyNumberFormat="1" applyFont="1" applyFill="1" applyBorder="1" applyAlignment="1">
      <alignment horizontal="center" vertical="center" wrapText="1"/>
      <protection/>
    </xf>
    <xf numFmtId="49" fontId="24" fillId="20" borderId="13" xfId="55" applyNumberFormat="1" applyFont="1" applyFill="1" applyBorder="1" applyAlignment="1">
      <alignment horizontal="center" vertical="center" wrapText="1"/>
      <protection/>
    </xf>
    <xf numFmtId="3" fontId="22" fillId="25" borderId="17" xfId="55" applyNumberFormat="1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/>
    </xf>
    <xf numFmtId="49" fontId="24" fillId="2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4" fillId="20" borderId="23" xfId="55" applyNumberFormat="1" applyFont="1" applyFill="1" applyBorder="1" applyAlignment="1">
      <alignment horizontal="center" vertical="center" wrapText="1"/>
      <protection/>
    </xf>
    <xf numFmtId="0" fontId="0" fillId="0" borderId="24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0" fontId="24" fillId="25" borderId="26" xfId="55" applyFont="1" applyFill="1" applyBorder="1" applyAlignment="1">
      <alignment horizontal="center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4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/>
      <protection/>
    </xf>
    <xf numFmtId="3" fontId="22" fillId="25" borderId="25" xfId="55" applyNumberFormat="1" applyFont="1" applyFill="1" applyBorder="1" applyAlignment="1">
      <alignment horizontal="left" vertical="center" wrapText="1"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0" xfId="55" applyFont="1" applyAlignment="1">
      <alignment horizontal="left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right"/>
      <protection/>
    </xf>
    <xf numFmtId="0" fontId="22" fillId="0" borderId="21" xfId="55" applyFont="1" applyBorder="1" applyAlignment="1">
      <alignment horizontal="right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ochody 2009" xfId="54"/>
    <cellStyle name="Normalny_prognoza obsługi długu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SheetLayoutView="33" zoomScalePageLayoutView="72" workbookViewId="0" topLeftCell="A58">
      <selection activeCell="C18" sqref="C18"/>
    </sheetView>
  </sheetViews>
  <sheetFormatPr defaultColWidth="9.140625" defaultRowHeight="12.75"/>
  <cols>
    <col min="1" max="1" width="4.57421875" style="15" customWidth="1"/>
    <col min="2" max="2" width="28.57421875" style="3" customWidth="1"/>
    <col min="3" max="4" width="9.28125" style="3" customWidth="1"/>
    <col min="5" max="6" width="8.7109375" style="3" customWidth="1"/>
    <col min="7" max="7" width="9.28125" style="3" customWidth="1"/>
    <col min="8" max="8" width="9.8515625" style="3" customWidth="1"/>
    <col min="9" max="9" width="9.421875" style="3" customWidth="1"/>
    <col min="10" max="10" width="10.00390625" style="3" customWidth="1"/>
    <col min="11" max="11" width="9.7109375" style="3" customWidth="1"/>
    <col min="12" max="12" width="9.57421875" style="3" customWidth="1"/>
    <col min="13" max="13" width="10.57421875" style="3" bestFit="1" customWidth="1"/>
    <col min="14" max="17" width="10.7109375" style="3" bestFit="1" customWidth="1"/>
    <col min="18" max="19" width="10.57421875" style="3" bestFit="1" customWidth="1"/>
    <col min="20" max="20" width="4.57421875" style="3" customWidth="1"/>
    <col min="21" max="21" width="29.7109375" style="3" customWidth="1"/>
    <col min="22" max="24" width="9.28125" style="3" bestFit="1" customWidth="1"/>
    <col min="25" max="16384" width="9.140625" style="3" customWidth="1"/>
  </cols>
  <sheetData>
    <row r="1" spans="1:19" ht="12" customHeight="1">
      <c r="A1" s="4"/>
      <c r="B1" s="5"/>
      <c r="C1" s="5"/>
      <c r="D1" s="5"/>
      <c r="E1" s="1"/>
      <c r="F1" s="157"/>
      <c r="G1" s="157"/>
      <c r="J1" s="163" t="s">
        <v>90</v>
      </c>
      <c r="K1" s="163"/>
      <c r="L1" s="163"/>
      <c r="M1" s="163"/>
      <c r="N1" s="163"/>
      <c r="O1" s="163"/>
      <c r="P1" s="163"/>
      <c r="Q1" s="163"/>
      <c r="R1" s="163"/>
      <c r="S1" s="163"/>
    </row>
    <row r="2" spans="1:7" ht="12.75" customHeight="1">
      <c r="A2" s="4"/>
      <c r="B2" s="5"/>
      <c r="C2" s="5"/>
      <c r="D2" s="5"/>
      <c r="E2" s="2"/>
      <c r="F2" s="157"/>
      <c r="G2" s="157"/>
    </row>
    <row r="3" spans="1:37" ht="17.25" customHeight="1">
      <c r="A3" s="4"/>
      <c r="B3" s="16" t="s">
        <v>152</v>
      </c>
      <c r="C3" s="17"/>
      <c r="D3" s="17"/>
      <c r="E3" s="17"/>
      <c r="F3" s="17"/>
      <c r="G3" s="17"/>
      <c r="H3" s="18"/>
      <c r="I3" s="18"/>
      <c r="J3" s="18"/>
      <c r="K3" s="18"/>
      <c r="L3" s="18"/>
      <c r="S3" s="112"/>
      <c r="T3" s="111" t="s">
        <v>129</v>
      </c>
      <c r="U3" s="108"/>
      <c r="V3" s="106"/>
      <c r="W3" s="106"/>
      <c r="X3" s="98"/>
      <c r="Y3" s="98"/>
      <c r="Z3" s="98"/>
      <c r="AA3" s="98"/>
      <c r="AB3" s="98"/>
      <c r="AC3" s="39"/>
      <c r="AD3" s="99"/>
      <c r="AE3"/>
      <c r="AF3"/>
      <c r="AG3"/>
      <c r="AH3"/>
      <c r="AI3"/>
      <c r="AJ3"/>
      <c r="AK3"/>
    </row>
    <row r="4" spans="1:37" ht="12" customHeight="1">
      <c r="A4" s="6"/>
      <c r="B4" s="6"/>
      <c r="C4" s="6"/>
      <c r="D4" s="6"/>
      <c r="E4" s="6"/>
      <c r="F4" s="6"/>
      <c r="G4" s="4"/>
      <c r="L4" s="164" t="s">
        <v>93</v>
      </c>
      <c r="M4" s="164"/>
      <c r="N4" s="164"/>
      <c r="O4" s="164"/>
      <c r="P4" s="164"/>
      <c r="Q4" s="164"/>
      <c r="R4" s="164"/>
      <c r="S4" s="164"/>
      <c r="T4" s="109"/>
      <c r="U4" s="109"/>
      <c r="V4" s="107"/>
      <c r="W4" s="107"/>
      <c r="X4" s="98"/>
      <c r="Y4" s="98"/>
      <c r="Z4" s="98"/>
      <c r="AA4" s="98"/>
      <c r="AB4" s="98"/>
      <c r="AC4" s="39"/>
      <c r="AD4" s="39"/>
      <c r="AE4"/>
      <c r="AF4"/>
      <c r="AG4"/>
      <c r="AH4"/>
      <c r="AI4"/>
      <c r="AJ4"/>
      <c r="AK4"/>
    </row>
    <row r="5" spans="1:37" ht="29.25" customHeight="1">
      <c r="A5" s="153" t="s">
        <v>91</v>
      </c>
      <c r="B5" s="154"/>
      <c r="C5" s="158" t="s">
        <v>151</v>
      </c>
      <c r="D5" s="84" t="s">
        <v>114</v>
      </c>
      <c r="E5" s="160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  <c r="T5" s="148" t="s">
        <v>91</v>
      </c>
      <c r="U5" s="149"/>
      <c r="V5" s="101" t="s">
        <v>130</v>
      </c>
      <c r="W5" s="101" t="s">
        <v>131</v>
      </c>
      <c r="X5" s="101" t="s">
        <v>132</v>
      </c>
      <c r="Y5" s="101" t="s">
        <v>133</v>
      </c>
      <c r="Z5" s="101" t="s">
        <v>134</v>
      </c>
      <c r="AA5" s="101" t="s">
        <v>135</v>
      </c>
      <c r="AB5" s="101" t="s">
        <v>136</v>
      </c>
      <c r="AC5" s="101" t="s">
        <v>137</v>
      </c>
      <c r="AD5" s="101" t="s">
        <v>138</v>
      </c>
      <c r="AE5" s="110" t="s">
        <v>140</v>
      </c>
      <c r="AF5" s="110" t="s">
        <v>141</v>
      </c>
      <c r="AG5" s="110" t="s">
        <v>142</v>
      </c>
      <c r="AH5" s="110" t="s">
        <v>143</v>
      </c>
      <c r="AI5" s="110" t="s">
        <v>144</v>
      </c>
      <c r="AJ5" s="110" t="s">
        <v>145</v>
      </c>
      <c r="AK5" s="110" t="s">
        <v>146</v>
      </c>
    </row>
    <row r="6" spans="1:37" ht="21.75" customHeight="1">
      <c r="A6" s="154"/>
      <c r="B6" s="154"/>
      <c r="C6" s="159"/>
      <c r="D6" s="7">
        <v>2012</v>
      </c>
      <c r="E6" s="8">
        <v>2013</v>
      </c>
      <c r="F6" s="32">
        <v>2014</v>
      </c>
      <c r="G6" s="8">
        <v>2015</v>
      </c>
      <c r="H6" s="40">
        <v>2016</v>
      </c>
      <c r="I6" s="40">
        <v>2017</v>
      </c>
      <c r="J6" s="40">
        <v>2018</v>
      </c>
      <c r="K6" s="40">
        <v>2019</v>
      </c>
      <c r="L6" s="68">
        <v>2020</v>
      </c>
      <c r="M6" s="40">
        <v>2021</v>
      </c>
      <c r="N6" s="40">
        <v>2022</v>
      </c>
      <c r="O6" s="40">
        <v>2023</v>
      </c>
      <c r="P6" s="40">
        <v>2024</v>
      </c>
      <c r="Q6" s="40">
        <v>2025</v>
      </c>
      <c r="R6" s="40">
        <v>2026</v>
      </c>
      <c r="S6" s="40">
        <v>2027</v>
      </c>
      <c r="T6" s="100"/>
      <c r="U6" s="100"/>
      <c r="V6" s="101"/>
      <c r="W6" s="101"/>
      <c r="X6" s="101"/>
      <c r="Y6" s="101"/>
      <c r="Z6" s="101"/>
      <c r="AA6" s="101"/>
      <c r="AB6" s="101"/>
      <c r="AC6" s="101"/>
      <c r="AD6" s="101"/>
      <c r="AE6" s="104"/>
      <c r="AF6" s="104"/>
      <c r="AG6" s="104"/>
      <c r="AH6" s="104"/>
      <c r="AI6" s="104"/>
      <c r="AJ6" s="104"/>
      <c r="AK6" s="104"/>
    </row>
    <row r="7" spans="1:37" ht="29.25" customHeight="1">
      <c r="A7" s="41" t="s">
        <v>121</v>
      </c>
      <c r="B7" s="42" t="s">
        <v>2</v>
      </c>
      <c r="C7" s="24">
        <f>C8+C12</f>
        <v>93179024</v>
      </c>
      <c r="D7" s="24">
        <f aca="true" t="shared" si="0" ref="D7:S7">D8+D12</f>
        <v>99632033.15</v>
      </c>
      <c r="E7" s="24">
        <f t="shared" si="0"/>
        <v>96008384.143</v>
      </c>
      <c r="F7" s="24">
        <f t="shared" si="0"/>
        <v>97673271.18573</v>
      </c>
      <c r="G7" s="24">
        <f t="shared" si="0"/>
        <v>98154300.2563455</v>
      </c>
      <c r="H7" s="24">
        <f t="shared" si="0"/>
        <v>100663762.47544232</v>
      </c>
      <c r="I7" s="24">
        <f t="shared" si="0"/>
        <v>103802194.63166077</v>
      </c>
      <c r="J7" s="24">
        <f t="shared" si="0"/>
        <v>105420143.93067068</v>
      </c>
      <c r="K7" s="24">
        <f t="shared" si="0"/>
        <v>107118168.20032458</v>
      </c>
      <c r="L7" s="69">
        <f t="shared" si="0"/>
        <v>106846836.09988195</v>
      </c>
      <c r="M7" s="69">
        <f t="shared" si="0"/>
        <v>108556727.33338597</v>
      </c>
      <c r="N7" s="69">
        <f t="shared" si="0"/>
        <v>110068432.86727513</v>
      </c>
      <c r="O7" s="69">
        <f t="shared" si="0"/>
        <v>111872555.1523143</v>
      </c>
      <c r="P7" s="69">
        <f t="shared" si="0"/>
        <v>114014708.34993118</v>
      </c>
      <c r="Q7" s="69">
        <f t="shared" si="0"/>
        <v>116370518.56304611</v>
      </c>
      <c r="R7" s="69">
        <f t="shared" si="0"/>
        <v>118595624.0714845</v>
      </c>
      <c r="S7" s="24">
        <f t="shared" si="0"/>
        <v>119205675.57206346</v>
      </c>
      <c r="T7" s="41" t="s">
        <v>121</v>
      </c>
      <c r="U7" s="42" t="s">
        <v>2</v>
      </c>
      <c r="V7" s="117">
        <f>D7/C7</f>
        <v>1.069253882182754</v>
      </c>
      <c r="W7" s="117">
        <f aca="true" t="shared" si="1" ref="W7:AK14">E7/D7</f>
        <v>0.9636296792062403</v>
      </c>
      <c r="X7" s="117">
        <f t="shared" si="1"/>
        <v>1.017341058883464</v>
      </c>
      <c r="Y7" s="117">
        <f t="shared" si="1"/>
        <v>1.0049248792917032</v>
      </c>
      <c r="Z7" s="117">
        <f t="shared" si="1"/>
        <v>1.0255665030726413</v>
      </c>
      <c r="AA7" s="117">
        <f t="shared" si="1"/>
        <v>1.0311773778273399</v>
      </c>
      <c r="AB7" s="117">
        <f t="shared" si="1"/>
        <v>1.0155868505935848</v>
      </c>
      <c r="AC7" s="117">
        <f t="shared" si="1"/>
        <v>1.0161072087965521</v>
      </c>
      <c r="AD7" s="117">
        <f t="shared" si="1"/>
        <v>0.9974669833791854</v>
      </c>
      <c r="AE7" s="117">
        <f t="shared" si="1"/>
        <v>1.0160031994948882</v>
      </c>
      <c r="AF7" s="117">
        <f t="shared" si="1"/>
        <v>1.0139254891983487</v>
      </c>
      <c r="AG7" s="117">
        <f t="shared" si="1"/>
        <v>1.0163909146159522</v>
      </c>
      <c r="AH7" s="117">
        <f t="shared" si="1"/>
        <v>1.0191481565313345</v>
      </c>
      <c r="AI7" s="117">
        <f t="shared" si="1"/>
        <v>1.0206623360021634</v>
      </c>
      <c r="AJ7" s="117">
        <f t="shared" si="1"/>
        <v>1.0191208695803216</v>
      </c>
      <c r="AK7" s="117">
        <f t="shared" si="1"/>
        <v>1.0051439629864525</v>
      </c>
    </row>
    <row r="8" spans="1:37" ht="15.75" customHeight="1">
      <c r="A8" s="43" t="s">
        <v>9</v>
      </c>
      <c r="B8" s="44" t="s">
        <v>98</v>
      </c>
      <c r="C8" s="11">
        <f>C9+C10+C11</f>
        <v>86779391</v>
      </c>
      <c r="D8" s="11">
        <f>D9+D10+D11</f>
        <v>89880884.15</v>
      </c>
      <c r="E8" s="11">
        <f aca="true" t="shared" si="2" ref="E8:S8">E9+E10+E11</f>
        <v>92538731.143</v>
      </c>
      <c r="F8" s="11">
        <f t="shared" si="2"/>
        <v>94988618.18573</v>
      </c>
      <c r="G8" s="11">
        <f t="shared" si="2"/>
        <v>96569647.2563455</v>
      </c>
      <c r="H8" s="11">
        <f t="shared" si="2"/>
        <v>98179109.47544232</v>
      </c>
      <c r="I8" s="11">
        <f t="shared" si="2"/>
        <v>99817541.63166077</v>
      </c>
      <c r="J8" s="11">
        <f t="shared" si="2"/>
        <v>101485490.93067068</v>
      </c>
      <c r="K8" s="11">
        <f t="shared" si="2"/>
        <v>103183515.20032458</v>
      </c>
      <c r="L8" s="70">
        <f t="shared" si="2"/>
        <v>104912183.09988195</v>
      </c>
      <c r="M8" s="70">
        <f t="shared" si="2"/>
        <v>106672074.33338597</v>
      </c>
      <c r="N8" s="70">
        <f t="shared" si="2"/>
        <v>108463779.86727513</v>
      </c>
      <c r="O8" s="70">
        <f t="shared" si="2"/>
        <v>110287902.1523143</v>
      </c>
      <c r="P8" s="70">
        <f t="shared" si="2"/>
        <v>112145055.34993118</v>
      </c>
      <c r="Q8" s="70">
        <f t="shared" si="2"/>
        <v>114035865.56304611</v>
      </c>
      <c r="R8" s="70">
        <f t="shared" si="2"/>
        <v>115960971.0714845</v>
      </c>
      <c r="S8" s="11">
        <f t="shared" si="2"/>
        <v>117921022.57206346</v>
      </c>
      <c r="T8" s="43" t="s">
        <v>9</v>
      </c>
      <c r="U8" s="44" t="s">
        <v>98</v>
      </c>
      <c r="V8" s="116">
        <f>D8/C8</f>
        <v>1.035739973676469</v>
      </c>
      <c r="W8" s="116">
        <f t="shared" si="1"/>
        <v>1.029570770449525</v>
      </c>
      <c r="X8" s="116">
        <f t="shared" si="1"/>
        <v>1.0264741801888788</v>
      </c>
      <c r="Y8" s="116">
        <f t="shared" si="1"/>
        <v>1.0166444054120687</v>
      </c>
      <c r="Z8" s="116">
        <f t="shared" si="1"/>
        <v>1.0166663363160526</v>
      </c>
      <c r="AA8" s="116">
        <f t="shared" si="1"/>
        <v>1.016688195329662</v>
      </c>
      <c r="AB8" s="116">
        <f t="shared" si="1"/>
        <v>1.0167099817501501</v>
      </c>
      <c r="AC8" s="116">
        <f t="shared" si="1"/>
        <v>1.0167316948864533</v>
      </c>
      <c r="AD8" s="116">
        <f t="shared" si="1"/>
        <v>1.0167533340592367</v>
      </c>
      <c r="AE8" s="116">
        <f t="shared" si="1"/>
        <v>1.0167748986009424</v>
      </c>
      <c r="AF8" s="116">
        <f t="shared" si="1"/>
        <v>1.016796387855827</v>
      </c>
      <c r="AG8" s="116">
        <f t="shared" si="1"/>
        <v>1.0168178011800004</v>
      </c>
      <c r="AH8" s="116">
        <f t="shared" si="1"/>
        <v>1.0168391379414583</v>
      </c>
      <c r="AI8" s="116">
        <f t="shared" si="1"/>
        <v>1.0168603975201131</v>
      </c>
      <c r="AJ8" s="116">
        <f t="shared" si="1"/>
        <v>1.0168815793078194</v>
      </c>
      <c r="AK8" s="116">
        <f t="shared" si="1"/>
        <v>1.0169026827083973</v>
      </c>
    </row>
    <row r="9" spans="1:37" ht="15.75" customHeight="1">
      <c r="A9" s="43" t="s">
        <v>11</v>
      </c>
      <c r="B9" s="44" t="s">
        <v>124</v>
      </c>
      <c r="C9" s="10">
        <f>(54559057-1440+1240916+15766+28182)</f>
        <v>55842481</v>
      </c>
      <c r="D9" s="10">
        <f>C9*1.05</f>
        <v>58634605.050000004</v>
      </c>
      <c r="E9" s="10">
        <f>D9*1.04</f>
        <v>60979989.252000004</v>
      </c>
      <c r="F9" s="10">
        <f>E9*1.035</f>
        <v>63114288.875819996</v>
      </c>
      <c r="G9" s="10">
        <f>F9*1.02</f>
        <v>64376574.6533364</v>
      </c>
      <c r="H9" s="10">
        <f aca="true" t="shared" si="3" ref="H9:S9">G9*1.02</f>
        <v>65664106.14640313</v>
      </c>
      <c r="I9" s="10">
        <f t="shared" si="3"/>
        <v>66977388.26933119</v>
      </c>
      <c r="J9" s="10">
        <f t="shared" si="3"/>
        <v>68316936.03471781</v>
      </c>
      <c r="K9" s="10">
        <f t="shared" si="3"/>
        <v>69683274.75541218</v>
      </c>
      <c r="L9" s="10">
        <f t="shared" si="3"/>
        <v>71076940.25052042</v>
      </c>
      <c r="M9" s="10">
        <f t="shared" si="3"/>
        <v>72498479.05553083</v>
      </c>
      <c r="N9" s="10">
        <f t="shared" si="3"/>
        <v>73948448.63664144</v>
      </c>
      <c r="O9" s="10">
        <f t="shared" si="3"/>
        <v>75427417.60937427</v>
      </c>
      <c r="P9" s="10">
        <f t="shared" si="3"/>
        <v>76935965.96156175</v>
      </c>
      <c r="Q9" s="10">
        <f t="shared" si="3"/>
        <v>78474685.280793</v>
      </c>
      <c r="R9" s="10">
        <f t="shared" si="3"/>
        <v>80044178.98640886</v>
      </c>
      <c r="S9" s="10">
        <f t="shared" si="3"/>
        <v>81645062.56613703</v>
      </c>
      <c r="T9" s="43" t="s">
        <v>11</v>
      </c>
      <c r="U9" s="44" t="s">
        <v>124</v>
      </c>
      <c r="V9" s="116">
        <f aca="true" t="shared" si="4" ref="V9:V14">D9/C9</f>
        <v>1.05</v>
      </c>
      <c r="W9" s="116">
        <f t="shared" si="1"/>
        <v>1.04</v>
      </c>
      <c r="X9" s="116">
        <f t="shared" si="1"/>
        <v>1.035</v>
      </c>
      <c r="Y9" s="116">
        <f t="shared" si="1"/>
        <v>1.02</v>
      </c>
      <c r="Z9" s="116">
        <f t="shared" si="1"/>
        <v>1.02</v>
      </c>
      <c r="AA9" s="116">
        <f t="shared" si="1"/>
        <v>1.02</v>
      </c>
      <c r="AB9" s="116">
        <f t="shared" si="1"/>
        <v>1.02</v>
      </c>
      <c r="AC9" s="116">
        <f t="shared" si="1"/>
        <v>1.02</v>
      </c>
      <c r="AD9" s="116">
        <f t="shared" si="1"/>
        <v>1.02</v>
      </c>
      <c r="AE9" s="116">
        <f t="shared" si="1"/>
        <v>1.02</v>
      </c>
      <c r="AF9" s="116">
        <f t="shared" si="1"/>
        <v>1.02</v>
      </c>
      <c r="AG9" s="116">
        <f t="shared" si="1"/>
        <v>1.02</v>
      </c>
      <c r="AH9" s="116">
        <f t="shared" si="1"/>
        <v>1.02</v>
      </c>
      <c r="AI9" s="116">
        <f t="shared" si="1"/>
        <v>1.02</v>
      </c>
      <c r="AJ9" s="116">
        <f t="shared" si="1"/>
        <v>1.02</v>
      </c>
      <c r="AK9" s="116">
        <f t="shared" si="1"/>
        <v>1.02</v>
      </c>
    </row>
    <row r="10" spans="1:37" ht="13.5" customHeight="1">
      <c r="A10" s="43" t="s">
        <v>12</v>
      </c>
      <c r="B10" s="44" t="s">
        <v>125</v>
      </c>
      <c r="C10" s="10">
        <f>(19853126-251804)</f>
        <v>19601322</v>
      </c>
      <c r="D10" s="10">
        <f aca="true" t="shared" si="5" ref="D10:L10">C10*1.01</f>
        <v>19797335.22</v>
      </c>
      <c r="E10" s="10">
        <f t="shared" si="5"/>
        <v>19995308.5722</v>
      </c>
      <c r="F10" s="10">
        <f t="shared" si="5"/>
        <v>20195261.657922</v>
      </c>
      <c r="G10" s="10">
        <f t="shared" si="5"/>
        <v>20397214.27450122</v>
      </c>
      <c r="H10" s="10">
        <f t="shared" si="5"/>
        <v>20601186.41724623</v>
      </c>
      <c r="I10" s="10">
        <f t="shared" si="5"/>
        <v>20807198.281418692</v>
      </c>
      <c r="J10" s="10">
        <f t="shared" si="5"/>
        <v>21015270.264232878</v>
      </c>
      <c r="K10" s="10">
        <f t="shared" si="5"/>
        <v>21225422.966875207</v>
      </c>
      <c r="L10" s="19">
        <f t="shared" si="5"/>
        <v>21437677.196543958</v>
      </c>
      <c r="M10" s="19">
        <f aca="true" t="shared" si="6" ref="M10:P11">L10*1.01</f>
        <v>21652053.9685094</v>
      </c>
      <c r="N10" s="19">
        <f t="shared" si="6"/>
        <v>21868574.50819449</v>
      </c>
      <c r="O10" s="19">
        <f t="shared" si="6"/>
        <v>22087260.253276438</v>
      </c>
      <c r="P10" s="19">
        <f t="shared" si="6"/>
        <v>22308132.8558092</v>
      </c>
      <c r="Q10" s="19">
        <f aca="true" t="shared" si="7" ref="Q10:S11">P10*1.01</f>
        <v>22531214.18436729</v>
      </c>
      <c r="R10" s="19">
        <f t="shared" si="7"/>
        <v>22756526.326210964</v>
      </c>
      <c r="S10" s="10">
        <f t="shared" si="7"/>
        <v>22984091.589473076</v>
      </c>
      <c r="T10" s="43" t="s">
        <v>12</v>
      </c>
      <c r="U10" s="44" t="s">
        <v>125</v>
      </c>
      <c r="V10" s="116">
        <f t="shared" si="4"/>
        <v>1.01</v>
      </c>
      <c r="W10" s="116">
        <f t="shared" si="1"/>
        <v>1.01</v>
      </c>
      <c r="X10" s="116">
        <f t="shared" si="1"/>
        <v>1.01</v>
      </c>
      <c r="Y10" s="116">
        <f t="shared" si="1"/>
        <v>1.01</v>
      </c>
      <c r="Z10" s="116">
        <f t="shared" si="1"/>
        <v>1.01</v>
      </c>
      <c r="AA10" s="116">
        <f t="shared" si="1"/>
        <v>1.01</v>
      </c>
      <c r="AB10" s="116">
        <f t="shared" si="1"/>
        <v>1.01</v>
      </c>
      <c r="AC10" s="116">
        <f t="shared" si="1"/>
        <v>1.01</v>
      </c>
      <c r="AD10" s="116">
        <f t="shared" si="1"/>
        <v>1.01</v>
      </c>
      <c r="AE10" s="116">
        <f t="shared" si="1"/>
        <v>1.01</v>
      </c>
      <c r="AF10" s="116">
        <f t="shared" si="1"/>
        <v>1.01</v>
      </c>
      <c r="AG10" s="116">
        <f t="shared" si="1"/>
        <v>1.01</v>
      </c>
      <c r="AH10" s="116">
        <f t="shared" si="1"/>
        <v>1.01</v>
      </c>
      <c r="AI10" s="116">
        <f t="shared" si="1"/>
        <v>1.01</v>
      </c>
      <c r="AJ10" s="116">
        <f t="shared" si="1"/>
        <v>1.01</v>
      </c>
      <c r="AK10" s="116">
        <f t="shared" si="1"/>
        <v>1.01</v>
      </c>
    </row>
    <row r="11" spans="1:37" ht="52.5" customHeight="1">
      <c r="A11" s="43" t="s">
        <v>13</v>
      </c>
      <c r="B11" s="44" t="s">
        <v>3</v>
      </c>
      <c r="C11" s="10">
        <f>(10484795+14513+46720-19640+176737+900+600+2145+1500+6000+16124+1359+5500+5999+13150+426190+300+4000+53178+27876+20000+22200+25442)</f>
        <v>11335588</v>
      </c>
      <c r="D11" s="12">
        <f aca="true" t="shared" si="8" ref="D11:M11">C11*1.01</f>
        <v>11448943.88</v>
      </c>
      <c r="E11" s="12">
        <f t="shared" si="8"/>
        <v>11563433.3188</v>
      </c>
      <c r="F11" s="12">
        <f t="shared" si="8"/>
        <v>11679067.651988</v>
      </c>
      <c r="G11" s="12">
        <f t="shared" si="8"/>
        <v>11795858.32850788</v>
      </c>
      <c r="H11" s="12">
        <f t="shared" si="8"/>
        <v>11913816.911792958</v>
      </c>
      <c r="I11" s="12">
        <f t="shared" si="8"/>
        <v>12032955.080910888</v>
      </c>
      <c r="J11" s="12">
        <f t="shared" si="8"/>
        <v>12153284.631719997</v>
      </c>
      <c r="K11" s="12">
        <f t="shared" si="8"/>
        <v>12274817.478037197</v>
      </c>
      <c r="L11" s="71">
        <f t="shared" si="8"/>
        <v>12397565.65281757</v>
      </c>
      <c r="M11" s="71">
        <f t="shared" si="8"/>
        <v>12521541.309345745</v>
      </c>
      <c r="N11" s="71">
        <f t="shared" si="6"/>
        <v>12646756.722439202</v>
      </c>
      <c r="O11" s="71">
        <f t="shared" si="6"/>
        <v>12773224.289663594</v>
      </c>
      <c r="P11" s="71">
        <f t="shared" si="6"/>
        <v>12900956.532560231</v>
      </c>
      <c r="Q11" s="71">
        <f t="shared" si="7"/>
        <v>13029966.097885834</v>
      </c>
      <c r="R11" s="71">
        <f t="shared" si="7"/>
        <v>13160265.758864693</v>
      </c>
      <c r="S11" s="12">
        <f t="shared" si="7"/>
        <v>13291868.416453341</v>
      </c>
      <c r="T11" s="43" t="s">
        <v>13</v>
      </c>
      <c r="U11" s="44" t="s">
        <v>3</v>
      </c>
      <c r="V11" s="116">
        <f t="shared" si="4"/>
        <v>1.01</v>
      </c>
      <c r="W11" s="116">
        <f t="shared" si="1"/>
        <v>1.01</v>
      </c>
      <c r="X11" s="116">
        <f t="shared" si="1"/>
        <v>1.01</v>
      </c>
      <c r="Y11" s="116">
        <f t="shared" si="1"/>
        <v>1.01</v>
      </c>
      <c r="Z11" s="116">
        <f t="shared" si="1"/>
        <v>1.01</v>
      </c>
      <c r="AA11" s="116">
        <f t="shared" si="1"/>
        <v>1.01</v>
      </c>
      <c r="AB11" s="116">
        <f t="shared" si="1"/>
        <v>1.01</v>
      </c>
      <c r="AC11" s="116">
        <f t="shared" si="1"/>
        <v>1.01</v>
      </c>
      <c r="AD11" s="116">
        <f t="shared" si="1"/>
        <v>1.01</v>
      </c>
      <c r="AE11" s="116">
        <f t="shared" si="1"/>
        <v>1.01</v>
      </c>
      <c r="AF11" s="116">
        <f t="shared" si="1"/>
        <v>1.01</v>
      </c>
      <c r="AG11" s="116">
        <f t="shared" si="1"/>
        <v>1.01</v>
      </c>
      <c r="AH11" s="116">
        <f t="shared" si="1"/>
        <v>1.01</v>
      </c>
      <c r="AI11" s="116">
        <f t="shared" si="1"/>
        <v>1.01</v>
      </c>
      <c r="AJ11" s="116">
        <f t="shared" si="1"/>
        <v>1.01</v>
      </c>
      <c r="AK11" s="116">
        <f t="shared" si="1"/>
        <v>1.01</v>
      </c>
    </row>
    <row r="12" spans="1:37" ht="15.75" customHeight="1">
      <c r="A12" s="43" t="s">
        <v>10</v>
      </c>
      <c r="B12" s="44" t="s">
        <v>1</v>
      </c>
      <c r="C12" s="9">
        <f>C13+C14+C15</f>
        <v>6399633</v>
      </c>
      <c r="D12" s="9">
        <f aca="true" t="shared" si="9" ref="D12:S12">D13+D14+D15</f>
        <v>9751149</v>
      </c>
      <c r="E12" s="9">
        <f t="shared" si="9"/>
        <v>3469653</v>
      </c>
      <c r="F12" s="9">
        <f t="shared" si="9"/>
        <v>2684653</v>
      </c>
      <c r="G12" s="9">
        <f t="shared" si="9"/>
        <v>1584653</v>
      </c>
      <c r="H12" s="9">
        <f t="shared" si="9"/>
        <v>2484653</v>
      </c>
      <c r="I12" s="9">
        <f t="shared" si="9"/>
        <v>3984653</v>
      </c>
      <c r="J12" s="9">
        <f t="shared" si="9"/>
        <v>3934653</v>
      </c>
      <c r="K12" s="9">
        <f t="shared" si="9"/>
        <v>3934653</v>
      </c>
      <c r="L12" s="72">
        <f t="shared" si="9"/>
        <v>1934653</v>
      </c>
      <c r="M12" s="72">
        <f t="shared" si="9"/>
        <v>1884653</v>
      </c>
      <c r="N12" s="72">
        <f t="shared" si="9"/>
        <v>1604653</v>
      </c>
      <c r="O12" s="72">
        <f t="shared" si="9"/>
        <v>1584653</v>
      </c>
      <c r="P12" s="72">
        <f t="shared" si="9"/>
        <v>1869653</v>
      </c>
      <c r="Q12" s="72">
        <f t="shared" si="9"/>
        <v>2334653</v>
      </c>
      <c r="R12" s="72">
        <f t="shared" si="9"/>
        <v>2634653</v>
      </c>
      <c r="S12" s="9">
        <f t="shared" si="9"/>
        <v>1284653</v>
      </c>
      <c r="T12" s="43" t="s">
        <v>10</v>
      </c>
      <c r="U12" s="44" t="s">
        <v>1</v>
      </c>
      <c r="V12" s="116">
        <f t="shared" si="4"/>
        <v>1.5237044061745415</v>
      </c>
      <c r="W12" s="116">
        <f t="shared" si="1"/>
        <v>0.35581991414550224</v>
      </c>
      <c r="X12" s="116">
        <f t="shared" si="1"/>
        <v>0.7737525913974683</v>
      </c>
      <c r="Y12" s="116">
        <f t="shared" si="1"/>
        <v>0.5902636206615901</v>
      </c>
      <c r="Z12" s="116">
        <f t="shared" si="1"/>
        <v>1.567947683183637</v>
      </c>
      <c r="AA12" s="116">
        <f t="shared" si="1"/>
        <v>1.6037060305805277</v>
      </c>
      <c r="AB12" s="116">
        <f t="shared" si="1"/>
        <v>0.9874518559081557</v>
      </c>
      <c r="AC12" s="116">
        <f t="shared" si="1"/>
        <v>1</v>
      </c>
      <c r="AD12" s="116">
        <f t="shared" si="1"/>
        <v>0.4916959640405393</v>
      </c>
      <c r="AE12" s="116">
        <f t="shared" si="1"/>
        <v>0.974155572084503</v>
      </c>
      <c r="AF12" s="116">
        <f t="shared" si="1"/>
        <v>0.8514315367338179</v>
      </c>
      <c r="AG12" s="116">
        <f t="shared" si="1"/>
        <v>0.9875362461541529</v>
      </c>
      <c r="AH12" s="116">
        <f t="shared" si="1"/>
        <v>1.1798500996748185</v>
      </c>
      <c r="AI12" s="116">
        <f t="shared" si="1"/>
        <v>1.2487092524655645</v>
      </c>
      <c r="AJ12" s="116">
        <f t="shared" si="1"/>
        <v>1.128498753347928</v>
      </c>
      <c r="AK12" s="116">
        <f t="shared" si="1"/>
        <v>0.4875985566220675</v>
      </c>
    </row>
    <row r="13" spans="1:37" ht="15" customHeight="1">
      <c r="A13" s="43" t="s">
        <v>11</v>
      </c>
      <c r="B13" s="44" t="s">
        <v>99</v>
      </c>
      <c r="C13" s="10">
        <f>(4964219-1964634)</f>
        <v>2999585</v>
      </c>
      <c r="D13" s="10">
        <f>(2670000+141500)</f>
        <v>2811500</v>
      </c>
      <c r="E13" s="10">
        <v>2790000</v>
      </c>
      <c r="F13" s="10">
        <v>2650000</v>
      </c>
      <c r="G13" s="10">
        <v>1550000</v>
      </c>
      <c r="H13" s="10">
        <v>2450000</v>
      </c>
      <c r="I13" s="10">
        <v>3950000</v>
      </c>
      <c r="J13" s="10">
        <v>3900000</v>
      </c>
      <c r="K13" s="10">
        <v>3900000</v>
      </c>
      <c r="L13" s="19">
        <v>1900000</v>
      </c>
      <c r="M13" s="19">
        <v>1850000</v>
      </c>
      <c r="N13" s="19">
        <v>1570000</v>
      </c>
      <c r="O13" s="19">
        <v>1550000</v>
      </c>
      <c r="P13" s="19">
        <v>1835000</v>
      </c>
      <c r="Q13" s="19">
        <v>2300000</v>
      </c>
      <c r="R13" s="19">
        <v>2600000</v>
      </c>
      <c r="S13" s="10">
        <v>1250000</v>
      </c>
      <c r="T13" s="43" t="s">
        <v>11</v>
      </c>
      <c r="U13" s="44" t="s">
        <v>99</v>
      </c>
      <c r="V13" s="116">
        <f t="shared" si="4"/>
        <v>0.9372963259917622</v>
      </c>
      <c r="W13" s="116">
        <f t="shared" si="1"/>
        <v>0.9923528365641117</v>
      </c>
      <c r="X13" s="116">
        <f t="shared" si="1"/>
        <v>0.9498207885304659</v>
      </c>
      <c r="Y13" s="116">
        <f t="shared" si="1"/>
        <v>0.5849056603773585</v>
      </c>
      <c r="Z13" s="116">
        <f t="shared" si="1"/>
        <v>1.5806451612903225</v>
      </c>
      <c r="AA13" s="116">
        <f t="shared" si="1"/>
        <v>1.6122448979591837</v>
      </c>
      <c r="AB13" s="116">
        <f t="shared" si="1"/>
        <v>0.9873417721518988</v>
      </c>
      <c r="AC13" s="116">
        <f t="shared" si="1"/>
        <v>1</v>
      </c>
      <c r="AD13" s="116">
        <f t="shared" si="1"/>
        <v>0.48717948717948717</v>
      </c>
      <c r="AE13" s="116">
        <f t="shared" si="1"/>
        <v>0.9736842105263158</v>
      </c>
      <c r="AF13" s="116">
        <f t="shared" si="1"/>
        <v>0.8486486486486486</v>
      </c>
      <c r="AG13" s="116">
        <f t="shared" si="1"/>
        <v>0.9872611464968153</v>
      </c>
      <c r="AH13" s="116">
        <f t="shared" si="1"/>
        <v>1.1838709677419355</v>
      </c>
      <c r="AI13" s="116">
        <f t="shared" si="1"/>
        <v>1.2534059945504088</v>
      </c>
      <c r="AJ13" s="116">
        <f t="shared" si="1"/>
        <v>1.1304347826086956</v>
      </c>
      <c r="AK13" s="116">
        <f t="shared" si="1"/>
        <v>0.4807692307692308</v>
      </c>
    </row>
    <row r="14" spans="1:37" ht="39.75" customHeight="1">
      <c r="A14" s="43" t="s">
        <v>12</v>
      </c>
      <c r="B14" s="34" t="s">
        <v>96</v>
      </c>
      <c r="C14" s="10">
        <v>34653</v>
      </c>
      <c r="D14" s="10">
        <f>C14*1</f>
        <v>34653</v>
      </c>
      <c r="E14" s="10">
        <f aca="true" t="shared" si="10" ref="E14:L14">D14*1</f>
        <v>34653</v>
      </c>
      <c r="F14" s="10">
        <f t="shared" si="10"/>
        <v>34653</v>
      </c>
      <c r="G14" s="10">
        <f t="shared" si="10"/>
        <v>34653</v>
      </c>
      <c r="H14" s="10">
        <f t="shared" si="10"/>
        <v>34653</v>
      </c>
      <c r="I14" s="10">
        <f t="shared" si="10"/>
        <v>34653</v>
      </c>
      <c r="J14" s="10">
        <f t="shared" si="10"/>
        <v>34653</v>
      </c>
      <c r="K14" s="10">
        <f t="shared" si="10"/>
        <v>34653</v>
      </c>
      <c r="L14" s="19">
        <f t="shared" si="10"/>
        <v>34653</v>
      </c>
      <c r="M14" s="19">
        <f aca="true" t="shared" si="11" ref="M14:S14">L14*1</f>
        <v>34653</v>
      </c>
      <c r="N14" s="19">
        <f t="shared" si="11"/>
        <v>34653</v>
      </c>
      <c r="O14" s="19">
        <f t="shared" si="11"/>
        <v>34653</v>
      </c>
      <c r="P14" s="19">
        <f t="shared" si="11"/>
        <v>34653</v>
      </c>
      <c r="Q14" s="19">
        <f t="shared" si="11"/>
        <v>34653</v>
      </c>
      <c r="R14" s="19">
        <f t="shared" si="11"/>
        <v>34653</v>
      </c>
      <c r="S14" s="10">
        <f t="shared" si="11"/>
        <v>34653</v>
      </c>
      <c r="T14" s="43" t="s">
        <v>12</v>
      </c>
      <c r="U14" s="34" t="s">
        <v>96</v>
      </c>
      <c r="V14" s="116">
        <f t="shared" si="4"/>
        <v>1</v>
      </c>
      <c r="W14" s="116">
        <f t="shared" si="1"/>
        <v>1</v>
      </c>
      <c r="X14" s="116">
        <f t="shared" si="1"/>
        <v>1</v>
      </c>
      <c r="Y14" s="116">
        <f t="shared" si="1"/>
        <v>1</v>
      </c>
      <c r="Z14" s="116">
        <f t="shared" si="1"/>
        <v>1</v>
      </c>
      <c r="AA14" s="116">
        <f t="shared" si="1"/>
        <v>1</v>
      </c>
      <c r="AB14" s="116">
        <f t="shared" si="1"/>
        <v>1</v>
      </c>
      <c r="AC14" s="116">
        <f t="shared" si="1"/>
        <v>1</v>
      </c>
      <c r="AD14" s="116">
        <f t="shared" si="1"/>
        <v>1</v>
      </c>
      <c r="AE14" s="116">
        <f t="shared" si="1"/>
        <v>1</v>
      </c>
      <c r="AF14" s="116">
        <f t="shared" si="1"/>
        <v>1</v>
      </c>
      <c r="AG14" s="116">
        <f t="shared" si="1"/>
        <v>1</v>
      </c>
      <c r="AH14" s="116">
        <f t="shared" si="1"/>
        <v>1</v>
      </c>
      <c r="AI14" s="116">
        <f t="shared" si="1"/>
        <v>1</v>
      </c>
      <c r="AJ14" s="116">
        <f t="shared" si="1"/>
        <v>1</v>
      </c>
      <c r="AK14" s="116">
        <f t="shared" si="1"/>
        <v>1</v>
      </c>
    </row>
    <row r="15" spans="1:37" ht="26.25" customHeight="1">
      <c r="A15" s="43" t="s">
        <v>13</v>
      </c>
      <c r="B15" s="44" t="s">
        <v>115</v>
      </c>
      <c r="C15" s="10">
        <f>(8130488+985-1400-679262-2225780+35000+115450-379600-35-115450-1515000-1)</f>
        <v>3365395</v>
      </c>
      <c r="D15" s="10">
        <f>(6604996+300000)</f>
        <v>6904996</v>
      </c>
      <c r="E15" s="10">
        <v>645000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0">
        <v>0</v>
      </c>
      <c r="T15" s="43" t="s">
        <v>13</v>
      </c>
      <c r="U15" s="44" t="s">
        <v>115</v>
      </c>
      <c r="V15" s="102" t="s">
        <v>139</v>
      </c>
      <c r="W15" s="102"/>
      <c r="X15" s="102"/>
      <c r="Y15" s="102"/>
      <c r="Z15" s="102"/>
      <c r="AA15" s="102"/>
      <c r="AB15" s="102"/>
      <c r="AC15" s="102"/>
      <c r="AD15" s="102"/>
      <c r="AE15" s="105"/>
      <c r="AF15" s="105"/>
      <c r="AG15" s="105"/>
      <c r="AH15" s="105"/>
      <c r="AI15" s="105"/>
      <c r="AJ15" s="105"/>
      <c r="AK15" s="105"/>
    </row>
    <row r="16" spans="1:37" ht="28.5" customHeight="1">
      <c r="A16" s="41" t="s">
        <v>101</v>
      </c>
      <c r="B16" s="42" t="s">
        <v>6</v>
      </c>
      <c r="C16" s="24">
        <f>C18+C47</f>
        <v>98827926</v>
      </c>
      <c r="D16" s="24">
        <f aca="true" t="shared" si="12" ref="D16:S16">D20+D47+D36</f>
        <v>105960597</v>
      </c>
      <c r="E16" s="24">
        <f t="shared" si="12"/>
        <v>93337405.387</v>
      </c>
      <c r="F16" s="24">
        <f t="shared" si="12"/>
        <v>93083216.46780498</v>
      </c>
      <c r="G16" s="24">
        <f t="shared" si="12"/>
        <v>95295048.63248304</v>
      </c>
      <c r="H16" s="24">
        <f t="shared" si="12"/>
        <v>96245649.11880787</v>
      </c>
      <c r="I16" s="24">
        <f t="shared" si="12"/>
        <v>100787333.85558997</v>
      </c>
      <c r="J16" s="24">
        <f t="shared" si="12"/>
        <v>102695207.19414587</v>
      </c>
      <c r="K16" s="24">
        <f t="shared" si="12"/>
        <v>103612159.26608734</v>
      </c>
      <c r="L16" s="69">
        <f t="shared" si="12"/>
        <v>105538280.85874821</v>
      </c>
      <c r="M16" s="69">
        <f t="shared" si="12"/>
        <v>106473663.66733569</v>
      </c>
      <c r="N16" s="69">
        <f t="shared" si="12"/>
        <v>107418400.30400905</v>
      </c>
      <c r="O16" s="69">
        <f t="shared" si="12"/>
        <v>109372584.30704914</v>
      </c>
      <c r="P16" s="69">
        <f t="shared" si="12"/>
        <v>112336310.15011963</v>
      </c>
      <c r="Q16" s="69">
        <f t="shared" si="12"/>
        <v>116796354.80237141</v>
      </c>
      <c r="R16" s="69">
        <f t="shared" si="12"/>
        <v>118278300.12440698</v>
      </c>
      <c r="S16" s="24">
        <f t="shared" si="12"/>
        <v>119782474.62627308</v>
      </c>
      <c r="T16" s="41" t="s">
        <v>101</v>
      </c>
      <c r="U16" s="42" t="s">
        <v>6</v>
      </c>
      <c r="V16" s="117">
        <f>D16/C16</f>
        <v>1.072172626591395</v>
      </c>
      <c r="W16" s="117">
        <f aca="true" t="shared" si="13" ref="W16:AK16">E16/D16</f>
        <v>0.8808690025311956</v>
      </c>
      <c r="X16" s="117">
        <f t="shared" si="13"/>
        <v>0.9972766661110721</v>
      </c>
      <c r="Y16" s="117">
        <f t="shared" si="13"/>
        <v>1.0237618794086587</v>
      </c>
      <c r="Z16" s="117">
        <f t="shared" si="13"/>
        <v>1.0099753397470936</v>
      </c>
      <c r="AA16" s="117">
        <f t="shared" si="13"/>
        <v>1.0471884680332484</v>
      </c>
      <c r="AB16" s="117">
        <f t="shared" si="13"/>
        <v>1.018929693499875</v>
      </c>
      <c r="AC16" s="117">
        <f t="shared" si="13"/>
        <v>1.008928869194528</v>
      </c>
      <c r="AD16" s="117">
        <f t="shared" si="13"/>
        <v>1.0185897254367065</v>
      </c>
      <c r="AE16" s="117">
        <f t="shared" si="13"/>
        <v>1.0088629718143636</v>
      </c>
      <c r="AF16" s="117">
        <f t="shared" si="13"/>
        <v>1.008872960731633</v>
      </c>
      <c r="AG16" s="117">
        <f t="shared" si="13"/>
        <v>1.0181922649891404</v>
      </c>
      <c r="AH16" s="117">
        <f t="shared" si="13"/>
        <v>1.0270975204787172</v>
      </c>
      <c r="AI16" s="117">
        <f t="shared" si="13"/>
        <v>1.0397026094794428</v>
      </c>
      <c r="AJ16" s="117">
        <f t="shared" si="13"/>
        <v>1.012688284018308</v>
      </c>
      <c r="AK16" s="117">
        <f t="shared" si="13"/>
        <v>1.0127172482212206</v>
      </c>
    </row>
    <row r="17" spans="1:37" s="39" customFormat="1" ht="19.5" customHeight="1">
      <c r="A17" s="45"/>
      <c r="B17" s="46" t="s"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73"/>
      <c r="M17" s="85"/>
      <c r="N17" s="85"/>
      <c r="O17" s="85"/>
      <c r="P17" s="86"/>
      <c r="Q17" s="85"/>
      <c r="R17" s="85"/>
      <c r="S17" s="85"/>
      <c r="T17" s="45"/>
      <c r="U17" s="46" t="s">
        <v>0</v>
      </c>
      <c r="V17" s="102"/>
      <c r="W17" s="102"/>
      <c r="X17" s="102"/>
      <c r="Y17" s="102"/>
      <c r="Z17" s="102"/>
      <c r="AA17" s="102"/>
      <c r="AB17" s="102"/>
      <c r="AC17" s="102"/>
      <c r="AD17" s="102"/>
      <c r="AE17" s="105"/>
      <c r="AF17" s="105"/>
      <c r="AG17" s="105"/>
      <c r="AH17" s="105"/>
      <c r="AI17" s="105"/>
      <c r="AJ17" s="105"/>
      <c r="AK17" s="105"/>
    </row>
    <row r="18" spans="1:37" ht="12.75" customHeight="1">
      <c r="A18" s="47" t="s">
        <v>127</v>
      </c>
      <c r="B18" s="44" t="s">
        <v>100</v>
      </c>
      <c r="C18" s="9">
        <f>(86591006+56119-251804-19640+277000+46720+176737+900-25000-11400+600+2145-24500+1500+6000-10000+16124+1359+5500+7500+13150+5999+426190+300+4000+53178+27876+15765-2099+20000+22200+25442+209880+28182+184460)</f>
        <v>87881389</v>
      </c>
      <c r="D18" s="9">
        <f>C18*1</f>
        <v>87881389</v>
      </c>
      <c r="E18" s="9">
        <f>D18*0.983</f>
        <v>86387405.387</v>
      </c>
      <c r="F18" s="9">
        <f>E18*1.015</f>
        <v>87683216.46780498</v>
      </c>
      <c r="G18" s="9">
        <f aca="true" t="shared" si="14" ref="G18:N18">F18*1.01</f>
        <v>88560048.63248304</v>
      </c>
      <c r="H18" s="9">
        <f t="shared" si="14"/>
        <v>89445649.11880787</v>
      </c>
      <c r="I18" s="9">
        <f>H18*1.015</f>
        <v>90787333.85558997</v>
      </c>
      <c r="J18" s="9">
        <f t="shared" si="14"/>
        <v>91695207.19414587</v>
      </c>
      <c r="K18" s="9">
        <f t="shared" si="14"/>
        <v>92612159.26608734</v>
      </c>
      <c r="L18" s="9">
        <f t="shared" si="14"/>
        <v>93538280.85874821</v>
      </c>
      <c r="M18" s="9">
        <f t="shared" si="14"/>
        <v>94473663.66733569</v>
      </c>
      <c r="N18" s="9">
        <f t="shared" si="14"/>
        <v>95418400.30400905</v>
      </c>
      <c r="O18" s="9">
        <f>N18*1.01</f>
        <v>96372584.30704914</v>
      </c>
      <c r="P18" s="9">
        <f>O18*1.01</f>
        <v>97336310.15011963</v>
      </c>
      <c r="Q18" s="9">
        <f>P18*1.015</f>
        <v>98796354.80237141</v>
      </c>
      <c r="R18" s="9">
        <f>Q18*1.015</f>
        <v>100278300.12440698</v>
      </c>
      <c r="S18" s="9">
        <f>R18*1.015</f>
        <v>101782474.62627308</v>
      </c>
      <c r="T18" s="47" t="s">
        <v>127</v>
      </c>
      <c r="U18" s="44" t="s">
        <v>100</v>
      </c>
      <c r="V18" s="116">
        <f>D18/C18</f>
        <v>1</v>
      </c>
      <c r="W18" s="116">
        <f aca="true" t="shared" si="15" ref="W18:AK19">E18/D18</f>
        <v>0.983</v>
      </c>
      <c r="X18" s="116">
        <f t="shared" si="15"/>
        <v>1.015</v>
      </c>
      <c r="Y18" s="116">
        <f t="shared" si="15"/>
        <v>1.01</v>
      </c>
      <c r="Z18" s="116">
        <f t="shared" si="15"/>
        <v>1.01</v>
      </c>
      <c r="AA18" s="116">
        <f t="shared" si="15"/>
        <v>1.015</v>
      </c>
      <c r="AB18" s="116">
        <f t="shared" si="15"/>
        <v>1.01</v>
      </c>
      <c r="AC18" s="116">
        <f t="shared" si="15"/>
        <v>1.01</v>
      </c>
      <c r="AD18" s="116">
        <f t="shared" si="15"/>
        <v>1.01</v>
      </c>
      <c r="AE18" s="116">
        <f t="shared" si="15"/>
        <v>1.01</v>
      </c>
      <c r="AF18" s="116">
        <f t="shared" si="15"/>
        <v>1.01</v>
      </c>
      <c r="AG18" s="116">
        <f t="shared" si="15"/>
        <v>1.01</v>
      </c>
      <c r="AH18" s="116">
        <f t="shared" si="15"/>
        <v>1.01</v>
      </c>
      <c r="AI18" s="116">
        <f t="shared" si="15"/>
        <v>1.015</v>
      </c>
      <c r="AJ18" s="116">
        <f t="shared" si="15"/>
        <v>1.015</v>
      </c>
      <c r="AK18" s="116">
        <f t="shared" si="15"/>
        <v>1.015</v>
      </c>
    </row>
    <row r="19" spans="1:37" s="23" customFormat="1" ht="14.25" customHeight="1">
      <c r="A19" s="47"/>
      <c r="B19" s="48" t="s">
        <v>128</v>
      </c>
      <c r="C19" s="21">
        <f aca="true" t="shared" si="16" ref="C19:H19">C8+C13-C18</f>
        <v>1897587</v>
      </c>
      <c r="D19" s="21">
        <f t="shared" si="16"/>
        <v>4810995.150000006</v>
      </c>
      <c r="E19" s="21">
        <f t="shared" si="16"/>
        <v>8941325.756000012</v>
      </c>
      <c r="F19" s="21">
        <f t="shared" si="16"/>
        <v>9955401.717925012</v>
      </c>
      <c r="G19" s="21">
        <f t="shared" si="16"/>
        <v>9559598.62386246</v>
      </c>
      <c r="H19" s="21">
        <f t="shared" si="16"/>
        <v>11183460.356634453</v>
      </c>
      <c r="I19" s="21">
        <f aca="true" t="shared" si="17" ref="I19:S19">I8+I13-I18</f>
        <v>12980207.776070803</v>
      </c>
      <c r="J19" s="21">
        <f t="shared" si="17"/>
        <v>13690283.736524805</v>
      </c>
      <c r="K19" s="21">
        <f t="shared" si="17"/>
        <v>14471355.934237242</v>
      </c>
      <c r="L19" s="74">
        <f t="shared" si="17"/>
        <v>13273902.241133735</v>
      </c>
      <c r="M19" s="74">
        <f t="shared" si="17"/>
        <v>14048410.666050285</v>
      </c>
      <c r="N19" s="74">
        <f t="shared" si="17"/>
        <v>14615379.563266084</v>
      </c>
      <c r="O19" s="74">
        <f t="shared" si="17"/>
        <v>15465317.845265165</v>
      </c>
      <c r="P19" s="74">
        <f t="shared" si="17"/>
        <v>16643745.199811548</v>
      </c>
      <c r="Q19" s="74">
        <f t="shared" si="17"/>
        <v>17539510.7606747</v>
      </c>
      <c r="R19" s="74">
        <f t="shared" si="17"/>
        <v>18282670.947077528</v>
      </c>
      <c r="S19" s="21">
        <f t="shared" si="17"/>
        <v>17388547.94579038</v>
      </c>
      <c r="T19" s="47"/>
      <c r="U19" s="48" t="s">
        <v>128</v>
      </c>
      <c r="V19" s="116">
        <f>D19/C19</f>
        <v>2.535322570190461</v>
      </c>
      <c r="W19" s="116">
        <f t="shared" si="15"/>
        <v>1.8585189710698422</v>
      </c>
      <c r="X19" s="116">
        <f t="shared" si="15"/>
        <v>1.1134144968652453</v>
      </c>
      <c r="Y19" s="116">
        <f t="shared" si="15"/>
        <v>0.9602423784316111</v>
      </c>
      <c r="Z19" s="116">
        <f t="shared" si="15"/>
        <v>1.169867145752181</v>
      </c>
      <c r="AA19" s="116">
        <f t="shared" si="15"/>
        <v>1.160661133686628</v>
      </c>
      <c r="AB19" s="116">
        <f t="shared" si="15"/>
        <v>1.0547045141883657</v>
      </c>
      <c r="AC19" s="116">
        <f t="shared" si="15"/>
        <v>1.05705303211712</v>
      </c>
      <c r="AD19" s="116">
        <f t="shared" si="15"/>
        <v>0.9172535249257123</v>
      </c>
      <c r="AE19" s="116">
        <f t="shared" si="15"/>
        <v>1.0583482092038068</v>
      </c>
      <c r="AF19" s="116">
        <f t="shared" si="15"/>
        <v>1.0403582234811763</v>
      </c>
      <c r="AG19" s="116">
        <f t="shared" si="15"/>
        <v>1.0581536920283134</v>
      </c>
      <c r="AH19" s="116">
        <f t="shared" si="15"/>
        <v>1.076198068887874</v>
      </c>
      <c r="AI19" s="116">
        <f t="shared" si="15"/>
        <v>1.0538199515859745</v>
      </c>
      <c r="AJ19" s="116">
        <f t="shared" si="15"/>
        <v>1.0423706337390588</v>
      </c>
      <c r="AK19" s="116">
        <f t="shared" si="15"/>
        <v>0.9510945088999662</v>
      </c>
    </row>
    <row r="20" spans="1:37" ht="32.25" customHeight="1">
      <c r="A20" s="41" t="s">
        <v>92</v>
      </c>
      <c r="B20" s="42" t="s">
        <v>83</v>
      </c>
      <c r="C20" s="25">
        <f aca="true" t="shared" si="18" ref="C20:S20">C18-C36</f>
        <v>85945189</v>
      </c>
      <c r="D20" s="14">
        <f t="shared" si="18"/>
        <v>85600159</v>
      </c>
      <c r="E20" s="14">
        <f t="shared" si="18"/>
        <v>84439542.387</v>
      </c>
      <c r="F20" s="14">
        <f t="shared" si="18"/>
        <v>85892220.46780498</v>
      </c>
      <c r="G20" s="14">
        <f t="shared" si="18"/>
        <v>86929094.63248304</v>
      </c>
      <c r="H20" s="14">
        <f t="shared" si="18"/>
        <v>87974155.11880787</v>
      </c>
      <c r="I20" s="14">
        <f t="shared" si="18"/>
        <v>89460370.85558997</v>
      </c>
      <c r="J20" s="14">
        <f t="shared" si="18"/>
        <v>90523244.19414587</v>
      </c>
      <c r="K20" s="14">
        <f t="shared" si="18"/>
        <v>91569009.26608734</v>
      </c>
      <c r="L20" s="33">
        <f t="shared" si="18"/>
        <v>92623961.85874821</v>
      </c>
      <c r="M20" s="33">
        <f t="shared" si="18"/>
        <v>93679819.66733569</v>
      </c>
      <c r="N20" s="33">
        <f t="shared" si="18"/>
        <v>94746427.30400905</v>
      </c>
      <c r="O20" s="33">
        <f t="shared" si="18"/>
        <v>95785151.30704914</v>
      </c>
      <c r="P20" s="33">
        <f t="shared" si="18"/>
        <v>96836410.15011963</v>
      </c>
      <c r="Q20" s="33">
        <f t="shared" si="18"/>
        <v>98360154.80237141</v>
      </c>
      <c r="R20" s="33">
        <f t="shared" si="18"/>
        <v>99842100.12440698</v>
      </c>
      <c r="S20" s="14">
        <f t="shared" si="18"/>
        <v>101346274.62627308</v>
      </c>
      <c r="T20" s="41" t="s">
        <v>92</v>
      </c>
      <c r="U20" s="42" t="s">
        <v>83</v>
      </c>
      <c r="V20" s="117">
        <f>D21/C21</f>
        <v>1.01</v>
      </c>
      <c r="W20" s="117">
        <f aca="true" t="shared" si="19" ref="W20:AK20">E21/D21</f>
        <v>1.01</v>
      </c>
      <c r="X20" s="117">
        <f t="shared" si="19"/>
        <v>1.02</v>
      </c>
      <c r="Y20" s="117">
        <f t="shared" si="19"/>
        <v>1.02</v>
      </c>
      <c r="Z20" s="117">
        <f t="shared" si="19"/>
        <v>1.02</v>
      </c>
      <c r="AA20" s="117">
        <f t="shared" si="19"/>
        <v>1.02</v>
      </c>
      <c r="AB20" s="117">
        <f t="shared" si="19"/>
        <v>1.02</v>
      </c>
      <c r="AC20" s="117">
        <f t="shared" si="19"/>
        <v>1.02</v>
      </c>
      <c r="AD20" s="117">
        <f t="shared" si="19"/>
        <v>1.02</v>
      </c>
      <c r="AE20" s="117">
        <f t="shared" si="19"/>
        <v>1.02</v>
      </c>
      <c r="AF20" s="117">
        <f t="shared" si="19"/>
        <v>1.02</v>
      </c>
      <c r="AG20" s="117">
        <f t="shared" si="19"/>
        <v>1.02</v>
      </c>
      <c r="AH20" s="117">
        <f t="shared" si="19"/>
        <v>1.02</v>
      </c>
      <c r="AI20" s="117">
        <f t="shared" si="19"/>
        <v>1.02</v>
      </c>
      <c r="AJ20" s="117">
        <f t="shared" si="19"/>
        <v>1.02</v>
      </c>
      <c r="AK20" s="117">
        <f t="shared" si="19"/>
        <v>1.02</v>
      </c>
    </row>
    <row r="21" spans="1:37" ht="25.5" customHeight="1">
      <c r="A21" s="43" t="s">
        <v>14</v>
      </c>
      <c r="B21" s="44" t="s">
        <v>17</v>
      </c>
      <c r="C21" s="10">
        <f>(39205764-251804)</f>
        <v>38953960</v>
      </c>
      <c r="D21" s="12">
        <f>C21*1.01</f>
        <v>39343499.6</v>
      </c>
      <c r="E21" s="12">
        <f>D21*1.01</f>
        <v>39736934.596</v>
      </c>
      <c r="F21" s="12">
        <f aca="true" t="shared" si="20" ref="F21:L21">E21*1.02</f>
        <v>40531673.28792</v>
      </c>
      <c r="G21" s="12">
        <f t="shared" si="20"/>
        <v>41342306.7536784</v>
      </c>
      <c r="H21" s="12">
        <f t="shared" si="20"/>
        <v>42169152.88875196</v>
      </c>
      <c r="I21" s="12">
        <f t="shared" si="20"/>
        <v>43012535.946527004</v>
      </c>
      <c r="J21" s="12">
        <f t="shared" si="20"/>
        <v>43872786.66545755</v>
      </c>
      <c r="K21" s="12">
        <f t="shared" si="20"/>
        <v>44750242.3987667</v>
      </c>
      <c r="L21" s="71">
        <f t="shared" si="20"/>
        <v>45645247.24674203</v>
      </c>
      <c r="M21" s="71">
        <f aca="true" t="shared" si="21" ref="M21:S22">L21*1.02</f>
        <v>46558152.19167688</v>
      </c>
      <c r="N21" s="71">
        <f t="shared" si="21"/>
        <v>47489315.23551042</v>
      </c>
      <c r="O21" s="71">
        <f t="shared" si="21"/>
        <v>48439101.540220626</v>
      </c>
      <c r="P21" s="71">
        <f t="shared" si="21"/>
        <v>49407883.57102504</v>
      </c>
      <c r="Q21" s="71">
        <f t="shared" si="21"/>
        <v>50396041.242445536</v>
      </c>
      <c r="R21" s="71">
        <f t="shared" si="21"/>
        <v>51403962.06729445</v>
      </c>
      <c r="S21" s="12">
        <f t="shared" si="21"/>
        <v>52432041.30864034</v>
      </c>
      <c r="T21" s="43" t="s">
        <v>14</v>
      </c>
      <c r="U21" s="44" t="s">
        <v>17</v>
      </c>
      <c r="V21" s="116">
        <f>D21/C21</f>
        <v>1.01</v>
      </c>
      <c r="W21" s="116">
        <f aca="true" t="shared" si="22" ref="W21:AK22">E21/D21</f>
        <v>1.01</v>
      </c>
      <c r="X21" s="116">
        <f t="shared" si="22"/>
        <v>1.02</v>
      </c>
      <c r="Y21" s="116">
        <f t="shared" si="22"/>
        <v>1.02</v>
      </c>
      <c r="Z21" s="116">
        <f t="shared" si="22"/>
        <v>1.02</v>
      </c>
      <c r="AA21" s="116">
        <f t="shared" si="22"/>
        <v>1.02</v>
      </c>
      <c r="AB21" s="116">
        <f t="shared" si="22"/>
        <v>1.02</v>
      </c>
      <c r="AC21" s="116">
        <f t="shared" si="22"/>
        <v>1.02</v>
      </c>
      <c r="AD21" s="116">
        <f t="shared" si="22"/>
        <v>1.02</v>
      </c>
      <c r="AE21" s="116">
        <f t="shared" si="22"/>
        <v>1.02</v>
      </c>
      <c r="AF21" s="116">
        <f t="shared" si="22"/>
        <v>1.02</v>
      </c>
      <c r="AG21" s="116">
        <f t="shared" si="22"/>
        <v>1.02</v>
      </c>
      <c r="AH21" s="116">
        <f t="shared" si="22"/>
        <v>1.02</v>
      </c>
      <c r="AI21" s="116">
        <f t="shared" si="22"/>
        <v>1.02</v>
      </c>
      <c r="AJ21" s="116">
        <f t="shared" si="22"/>
        <v>1.02</v>
      </c>
      <c r="AK21" s="116">
        <f t="shared" si="22"/>
        <v>1.02</v>
      </c>
    </row>
    <row r="22" spans="1:37" ht="28.5" customHeight="1">
      <c r="A22" s="43" t="s">
        <v>15</v>
      </c>
      <c r="B22" s="44" t="s">
        <v>16</v>
      </c>
      <c r="C22" s="10">
        <f>1781013</f>
        <v>1781013</v>
      </c>
      <c r="D22" s="12">
        <f>C22*1.02</f>
        <v>1816633.26</v>
      </c>
      <c r="E22" s="12">
        <f aca="true" t="shared" si="23" ref="E22:L22">D22*1.02</f>
        <v>1852965.9252</v>
      </c>
      <c r="F22" s="12">
        <f t="shared" si="23"/>
        <v>1890025.243704</v>
      </c>
      <c r="G22" s="12">
        <f t="shared" si="23"/>
        <v>1927825.74857808</v>
      </c>
      <c r="H22" s="12">
        <f t="shared" si="23"/>
        <v>1966382.2635496417</v>
      </c>
      <c r="I22" s="12">
        <f t="shared" si="23"/>
        <v>2005709.9088206345</v>
      </c>
      <c r="J22" s="12">
        <f t="shared" si="23"/>
        <v>2045824.106997047</v>
      </c>
      <c r="K22" s="12">
        <f t="shared" si="23"/>
        <v>2086740.5891369882</v>
      </c>
      <c r="L22" s="71">
        <f t="shared" si="23"/>
        <v>2128475.400919728</v>
      </c>
      <c r="M22" s="71">
        <f t="shared" si="21"/>
        <v>2171044.9089381224</v>
      </c>
      <c r="N22" s="71">
        <f t="shared" si="21"/>
        <v>2214465.8071168847</v>
      </c>
      <c r="O22" s="71">
        <f t="shared" si="21"/>
        <v>2258755.1232592226</v>
      </c>
      <c r="P22" s="71">
        <f t="shared" si="21"/>
        <v>2303930.225724407</v>
      </c>
      <c r="Q22" s="71">
        <f t="shared" si="21"/>
        <v>2350008.830238895</v>
      </c>
      <c r="R22" s="71">
        <f t="shared" si="21"/>
        <v>2397009.006843673</v>
      </c>
      <c r="S22" s="12">
        <f t="shared" si="21"/>
        <v>2444949.1869805465</v>
      </c>
      <c r="T22" s="43" t="s">
        <v>15</v>
      </c>
      <c r="U22" s="44" t="s">
        <v>16</v>
      </c>
      <c r="V22" s="116">
        <f>D22/C22</f>
        <v>1.02</v>
      </c>
      <c r="W22" s="116">
        <f t="shared" si="22"/>
        <v>1.02</v>
      </c>
      <c r="X22" s="116">
        <f t="shared" si="22"/>
        <v>1.02</v>
      </c>
      <c r="Y22" s="116">
        <f t="shared" si="22"/>
        <v>1.02</v>
      </c>
      <c r="Z22" s="116">
        <f t="shared" si="22"/>
        <v>1.02</v>
      </c>
      <c r="AA22" s="116">
        <f t="shared" si="22"/>
        <v>1.02</v>
      </c>
      <c r="AB22" s="116">
        <f t="shared" si="22"/>
        <v>1.02</v>
      </c>
      <c r="AC22" s="116">
        <f t="shared" si="22"/>
        <v>1.02</v>
      </c>
      <c r="AD22" s="116">
        <f t="shared" si="22"/>
        <v>1.02</v>
      </c>
      <c r="AE22" s="116">
        <f t="shared" si="22"/>
        <v>1.02</v>
      </c>
      <c r="AF22" s="116">
        <f t="shared" si="22"/>
        <v>1.02</v>
      </c>
      <c r="AG22" s="116">
        <f t="shared" si="22"/>
        <v>1.02</v>
      </c>
      <c r="AH22" s="116">
        <f t="shared" si="22"/>
        <v>1.02</v>
      </c>
      <c r="AI22" s="116">
        <f t="shared" si="22"/>
        <v>1.02</v>
      </c>
      <c r="AJ22" s="116">
        <f t="shared" si="22"/>
        <v>1.02</v>
      </c>
      <c r="AK22" s="116">
        <f t="shared" si="22"/>
        <v>1.02</v>
      </c>
    </row>
    <row r="23" spans="1:37" ht="52.5" customHeight="1">
      <c r="A23" s="43" t="s">
        <v>18</v>
      </c>
      <c r="B23" s="44" t="s">
        <v>80</v>
      </c>
      <c r="C23" s="10">
        <v>7506</v>
      </c>
      <c r="D23" s="10">
        <v>20394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0">
        <v>0</v>
      </c>
      <c r="T23" s="43" t="s">
        <v>18</v>
      </c>
      <c r="U23" s="44" t="s">
        <v>80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5"/>
      <c r="AF23" s="105"/>
      <c r="AG23" s="105"/>
      <c r="AH23" s="105"/>
      <c r="AI23" s="105"/>
      <c r="AJ23" s="105"/>
      <c r="AK23" s="105"/>
    </row>
    <row r="24" spans="1:37" ht="39.75" customHeight="1">
      <c r="A24" s="150"/>
      <c r="B24" s="44" t="s">
        <v>84</v>
      </c>
      <c r="C24" s="10">
        <f>C23</f>
        <v>7506</v>
      </c>
      <c r="D24" s="10">
        <f>D23</f>
        <v>20394</v>
      </c>
      <c r="E24" s="10">
        <f aca="true" t="shared" si="24" ref="E24:S24">E23</f>
        <v>0</v>
      </c>
      <c r="F24" s="10">
        <f t="shared" si="24"/>
        <v>0</v>
      </c>
      <c r="G24" s="10">
        <f t="shared" si="24"/>
        <v>0</v>
      </c>
      <c r="H24" s="10">
        <f t="shared" si="24"/>
        <v>0</v>
      </c>
      <c r="I24" s="10">
        <f t="shared" si="24"/>
        <v>0</v>
      </c>
      <c r="J24" s="10">
        <f t="shared" si="24"/>
        <v>0</v>
      </c>
      <c r="K24" s="10">
        <f t="shared" si="24"/>
        <v>0</v>
      </c>
      <c r="L24" s="19">
        <f t="shared" si="24"/>
        <v>0</v>
      </c>
      <c r="M24" s="19">
        <f t="shared" si="24"/>
        <v>0</v>
      </c>
      <c r="N24" s="19">
        <f t="shared" si="24"/>
        <v>0</v>
      </c>
      <c r="O24" s="19">
        <f t="shared" si="24"/>
        <v>0</v>
      </c>
      <c r="P24" s="19">
        <f t="shared" si="24"/>
        <v>0</v>
      </c>
      <c r="Q24" s="19">
        <f t="shared" si="24"/>
        <v>0</v>
      </c>
      <c r="R24" s="19">
        <f t="shared" si="24"/>
        <v>0</v>
      </c>
      <c r="S24" s="10">
        <f t="shared" si="24"/>
        <v>0</v>
      </c>
      <c r="T24" s="96"/>
      <c r="U24" s="44" t="s">
        <v>84</v>
      </c>
      <c r="V24" s="102"/>
      <c r="W24" s="102"/>
      <c r="X24" s="102"/>
      <c r="Y24" s="102"/>
      <c r="Z24" s="102"/>
      <c r="AA24" s="102"/>
      <c r="AB24" s="102"/>
      <c r="AC24" s="102"/>
      <c r="AD24" s="102"/>
      <c r="AE24" s="105"/>
      <c r="AF24" s="105"/>
      <c r="AG24" s="105"/>
      <c r="AH24" s="105"/>
      <c r="AI24" s="105"/>
      <c r="AJ24" s="105"/>
      <c r="AK24" s="105"/>
    </row>
    <row r="25" spans="1:37" ht="26.25" customHeight="1">
      <c r="A25" s="151"/>
      <c r="B25" s="44" t="s">
        <v>21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0">
        <v>0</v>
      </c>
      <c r="T25" s="97"/>
      <c r="U25" s="44" t="s">
        <v>21</v>
      </c>
      <c r="V25" s="102"/>
      <c r="W25" s="102"/>
      <c r="X25" s="102"/>
      <c r="Y25" s="102"/>
      <c r="Z25" s="102"/>
      <c r="AA25" s="102"/>
      <c r="AB25" s="102"/>
      <c r="AC25" s="102"/>
      <c r="AD25" s="102"/>
      <c r="AE25" s="105"/>
      <c r="AF25" s="105"/>
      <c r="AG25" s="105"/>
      <c r="AH25" s="105"/>
      <c r="AI25" s="105"/>
      <c r="AJ25" s="105"/>
      <c r="AK25" s="105"/>
    </row>
    <row r="26" spans="1:37" ht="25.5" customHeight="1">
      <c r="A26" s="151"/>
      <c r="B26" s="44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0">
        <v>0</v>
      </c>
      <c r="T26" s="97"/>
      <c r="U26" s="44" t="s">
        <v>19</v>
      </c>
      <c r="V26" s="102"/>
      <c r="W26" s="102"/>
      <c r="X26" s="102"/>
      <c r="Y26" s="102"/>
      <c r="Z26" s="102"/>
      <c r="AA26" s="102"/>
      <c r="AB26" s="102"/>
      <c r="AC26" s="102"/>
      <c r="AD26" s="102"/>
      <c r="AE26" s="105"/>
      <c r="AF26" s="105"/>
      <c r="AG26" s="105"/>
      <c r="AH26" s="105"/>
      <c r="AI26" s="105"/>
      <c r="AJ26" s="105"/>
      <c r="AK26" s="105"/>
    </row>
    <row r="27" spans="1:37" ht="25.5" customHeight="1">
      <c r="A27" s="152"/>
      <c r="B27" s="44" t="s">
        <v>20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0">
        <v>0</v>
      </c>
      <c r="T27" s="49"/>
      <c r="U27" s="44" t="s">
        <v>20</v>
      </c>
      <c r="V27" s="102"/>
      <c r="W27" s="102"/>
      <c r="X27" s="102"/>
      <c r="Y27" s="102"/>
      <c r="Z27" s="102"/>
      <c r="AA27" s="102"/>
      <c r="AB27" s="102"/>
      <c r="AC27" s="102"/>
      <c r="AD27" s="102"/>
      <c r="AE27" s="105"/>
      <c r="AF27" s="105"/>
      <c r="AG27" s="105"/>
      <c r="AH27" s="105"/>
      <c r="AI27" s="105"/>
      <c r="AJ27" s="105"/>
      <c r="AK27" s="105"/>
    </row>
    <row r="28" spans="1:37" ht="17.25" customHeight="1">
      <c r="A28" s="43" t="s">
        <v>22</v>
      </c>
      <c r="B28" s="44" t="s">
        <v>23</v>
      </c>
      <c r="C28" s="10">
        <f>C20-C21-C22-C23</f>
        <v>45202710</v>
      </c>
      <c r="D28" s="10">
        <f aca="true" t="shared" si="25" ref="D28:S28">D20-D21-D22-D23</f>
        <v>44419632.14</v>
      </c>
      <c r="E28" s="10">
        <f t="shared" si="25"/>
        <v>42849641.86579999</v>
      </c>
      <c r="F28" s="10">
        <f t="shared" si="25"/>
        <v>43470521.93618099</v>
      </c>
      <c r="G28" s="10">
        <f t="shared" si="25"/>
        <v>43658962.13022656</v>
      </c>
      <c r="H28" s="10">
        <f t="shared" si="25"/>
        <v>43838619.966506265</v>
      </c>
      <c r="I28" s="10">
        <f t="shared" si="25"/>
        <v>44442125.00024233</v>
      </c>
      <c r="J28" s="10">
        <f t="shared" si="25"/>
        <v>44604633.421691276</v>
      </c>
      <c r="K28" s="10">
        <f t="shared" si="25"/>
        <v>44732026.278183654</v>
      </c>
      <c r="L28" s="19">
        <f t="shared" si="25"/>
        <v>44850239.21108645</v>
      </c>
      <c r="M28" s="19">
        <f t="shared" si="25"/>
        <v>44950622.56672069</v>
      </c>
      <c r="N28" s="19">
        <f t="shared" si="25"/>
        <v>45042646.261381745</v>
      </c>
      <c r="O28" s="19">
        <f t="shared" si="25"/>
        <v>45087294.64356929</v>
      </c>
      <c r="P28" s="19">
        <f t="shared" si="25"/>
        <v>45124596.35337019</v>
      </c>
      <c r="Q28" s="19">
        <f t="shared" si="25"/>
        <v>45614104.72968698</v>
      </c>
      <c r="R28" s="19">
        <f t="shared" si="25"/>
        <v>46041129.05026886</v>
      </c>
      <c r="S28" s="121">
        <f t="shared" si="25"/>
        <v>46469284.1306522</v>
      </c>
      <c r="T28" s="43" t="s">
        <v>22</v>
      </c>
      <c r="U28" s="44" t="s">
        <v>23</v>
      </c>
      <c r="V28" s="116">
        <f>D28/C28</f>
        <v>0.9826763072391014</v>
      </c>
      <c r="W28" s="116">
        <f aca="true" t="shared" si="26" ref="W28:AK28">E28/D28</f>
        <v>0.9646554868070096</v>
      </c>
      <c r="X28" s="116">
        <f t="shared" si="26"/>
        <v>1.0144897376814843</v>
      </c>
      <c r="Y28" s="116">
        <f t="shared" si="26"/>
        <v>1.0043348960548995</v>
      </c>
      <c r="Z28" s="116">
        <f t="shared" si="26"/>
        <v>1.0041150276487063</v>
      </c>
      <c r="AA28" s="116">
        <f t="shared" si="26"/>
        <v>1.0137665153282005</v>
      </c>
      <c r="AB28" s="116">
        <f t="shared" si="26"/>
        <v>1.0036566303129757</v>
      </c>
      <c r="AC28" s="116">
        <f t="shared" si="26"/>
        <v>1.0028560453638977</v>
      </c>
      <c r="AD28" s="116">
        <f t="shared" si="26"/>
        <v>1.0026426912156325</v>
      </c>
      <c r="AE28" s="116">
        <f t="shared" si="26"/>
        <v>1.0022381899717812</v>
      </c>
      <c r="AF28" s="116">
        <f t="shared" si="26"/>
        <v>1.002047217355543</v>
      </c>
      <c r="AG28" s="116">
        <f t="shared" si="26"/>
        <v>1.0009912468714306</v>
      </c>
      <c r="AH28" s="116">
        <f t="shared" si="26"/>
        <v>1.0008273219783042</v>
      </c>
      <c r="AI28" s="116">
        <f t="shared" si="26"/>
        <v>1.0108479280896712</v>
      </c>
      <c r="AJ28" s="116">
        <f t="shared" si="26"/>
        <v>1.0093616727350554</v>
      </c>
      <c r="AK28" s="116">
        <f t="shared" si="26"/>
        <v>1.0092994044502226</v>
      </c>
    </row>
    <row r="29" spans="1:37" ht="39.75" customHeight="1">
      <c r="A29" s="50" t="s">
        <v>25</v>
      </c>
      <c r="B29" s="42" t="s">
        <v>24</v>
      </c>
      <c r="C29" s="24">
        <f aca="true" t="shared" si="27" ref="C29:S29">C7-C20</f>
        <v>7233835</v>
      </c>
      <c r="D29" s="24">
        <f t="shared" si="27"/>
        <v>14031874.150000006</v>
      </c>
      <c r="E29" s="24">
        <f t="shared" si="27"/>
        <v>11568841.756000012</v>
      </c>
      <c r="F29" s="24">
        <f t="shared" si="27"/>
        <v>11781050.717925012</v>
      </c>
      <c r="G29" s="24">
        <f t="shared" si="27"/>
        <v>11225205.62386246</v>
      </c>
      <c r="H29" s="24">
        <f t="shared" si="27"/>
        <v>12689607.356634453</v>
      </c>
      <c r="I29" s="24">
        <f t="shared" si="27"/>
        <v>14341823.776070803</v>
      </c>
      <c r="J29" s="24">
        <f t="shared" si="27"/>
        <v>14896899.736524805</v>
      </c>
      <c r="K29" s="24">
        <f t="shared" si="27"/>
        <v>15549158.934237242</v>
      </c>
      <c r="L29" s="69">
        <f t="shared" si="27"/>
        <v>14222874.241133735</v>
      </c>
      <c r="M29" s="69">
        <f t="shared" si="27"/>
        <v>14876907.666050285</v>
      </c>
      <c r="N29" s="69">
        <f t="shared" si="27"/>
        <v>15322005.563266084</v>
      </c>
      <c r="O29" s="69">
        <f t="shared" si="27"/>
        <v>16087403.845265165</v>
      </c>
      <c r="P29" s="69">
        <f t="shared" si="27"/>
        <v>17178298.199811548</v>
      </c>
      <c r="Q29" s="69">
        <f t="shared" si="27"/>
        <v>18010363.7606747</v>
      </c>
      <c r="R29" s="69">
        <f t="shared" si="27"/>
        <v>18753523.947077528</v>
      </c>
      <c r="S29" s="24">
        <f t="shared" si="27"/>
        <v>17859400.94579038</v>
      </c>
      <c r="T29" s="155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</row>
    <row r="30" spans="1:37" ht="21" customHeight="1">
      <c r="A30" s="50" t="s">
        <v>27</v>
      </c>
      <c r="B30" s="42" t="s">
        <v>5</v>
      </c>
      <c r="C30" s="25">
        <f>C31+C32+C33</f>
        <v>2887616</v>
      </c>
      <c r="D30" s="25">
        <f>D31+D32+D33</f>
        <v>9700000</v>
      </c>
      <c r="E30" s="25">
        <f>E32</f>
        <v>19966.15000000596</v>
      </c>
      <c r="F30" s="25">
        <f aca="true" t="shared" si="28" ref="F30:S30">F31+F32</f>
        <v>366274.9060000181</v>
      </c>
      <c r="G30" s="25">
        <f t="shared" si="28"/>
        <v>2019659.6239250302</v>
      </c>
      <c r="H30" s="25">
        <f t="shared" si="28"/>
        <v>1942241.2477874905</v>
      </c>
      <c r="I30" s="25">
        <f t="shared" si="28"/>
        <v>3423684.6044219434</v>
      </c>
      <c r="J30" s="25">
        <f t="shared" si="28"/>
        <v>3501875.380492747</v>
      </c>
      <c r="K30" s="25">
        <f t="shared" si="28"/>
        <v>3676342.1170175523</v>
      </c>
      <c r="L30" s="25">
        <f t="shared" si="28"/>
        <v>4733881.051254794</v>
      </c>
      <c r="M30" s="25">
        <f t="shared" si="28"/>
        <v>3593966.2923885286</v>
      </c>
      <c r="N30" s="25">
        <f t="shared" si="28"/>
        <v>3228559.9584388137</v>
      </c>
      <c r="O30" s="25">
        <f t="shared" si="28"/>
        <v>3893072.5217048973</v>
      </c>
      <c r="P30" s="25">
        <f t="shared" si="28"/>
        <v>4734523.366970062</v>
      </c>
      <c r="Q30" s="25">
        <f t="shared" si="28"/>
        <v>4754379.56678161</v>
      </c>
      <c r="R30" s="37">
        <f t="shared" si="28"/>
        <v>4328543.32745631</v>
      </c>
      <c r="S30" s="25">
        <f t="shared" si="28"/>
        <v>4645867.274533838</v>
      </c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/>
      <c r="AF30"/>
      <c r="AG30"/>
      <c r="AH30"/>
      <c r="AI30"/>
      <c r="AJ30"/>
      <c r="AK30"/>
    </row>
    <row r="31" spans="1:37" ht="16.5" customHeight="1">
      <c r="A31" s="49" t="s">
        <v>28</v>
      </c>
      <c r="B31" s="44" t="s">
        <v>26</v>
      </c>
      <c r="C31" s="10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12">
        <v>0</v>
      </c>
      <c r="T31" s="156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</row>
    <row r="32" spans="1:38" ht="16.5" customHeight="1">
      <c r="A32" s="49" t="s">
        <v>29</v>
      </c>
      <c r="B32" s="44" t="s">
        <v>119</v>
      </c>
      <c r="C32" s="10">
        <f>(1059010+41606+277000)</f>
        <v>1377616</v>
      </c>
      <c r="D32" s="10">
        <f>C56</f>
        <v>0</v>
      </c>
      <c r="E32" s="91">
        <f>D56</f>
        <v>19966.15000000596</v>
      </c>
      <c r="F32" s="10">
        <f aca="true" t="shared" si="29" ref="F32:S32">E56</f>
        <v>366274.9060000181</v>
      </c>
      <c r="G32" s="10">
        <f t="shared" si="29"/>
        <v>2019659.6239250302</v>
      </c>
      <c r="H32" s="10">
        <f t="shared" si="29"/>
        <v>1942241.2477874905</v>
      </c>
      <c r="I32" s="10">
        <f t="shared" si="29"/>
        <v>3423684.6044219434</v>
      </c>
      <c r="J32" s="10">
        <f t="shared" si="29"/>
        <v>3501875.380492747</v>
      </c>
      <c r="K32" s="10">
        <f t="shared" si="29"/>
        <v>3676342.1170175523</v>
      </c>
      <c r="L32" s="10">
        <f t="shared" si="29"/>
        <v>4733881.051254794</v>
      </c>
      <c r="M32" s="10">
        <f t="shared" si="29"/>
        <v>3593966.2923885286</v>
      </c>
      <c r="N32" s="10">
        <f t="shared" si="29"/>
        <v>3228559.9584388137</v>
      </c>
      <c r="O32" s="10">
        <f t="shared" si="29"/>
        <v>3893072.5217048973</v>
      </c>
      <c r="P32" s="10">
        <f t="shared" si="29"/>
        <v>4734523.366970062</v>
      </c>
      <c r="Q32" s="10">
        <f t="shared" si="29"/>
        <v>4754379.56678161</v>
      </c>
      <c r="R32" s="19">
        <f t="shared" si="29"/>
        <v>4328543.32745631</v>
      </c>
      <c r="S32" s="10">
        <f t="shared" si="29"/>
        <v>4645867.274533838</v>
      </c>
      <c r="T32" s="156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</row>
    <row r="33" spans="1:38" ht="40.5" customHeight="1">
      <c r="A33" s="49" t="s">
        <v>30</v>
      </c>
      <c r="B33" s="44" t="s">
        <v>147</v>
      </c>
      <c r="C33" s="10">
        <v>1510000</v>
      </c>
      <c r="D33" s="12">
        <v>9700000</v>
      </c>
      <c r="E33" s="12">
        <v>0</v>
      </c>
      <c r="F33" s="12">
        <v>0</v>
      </c>
      <c r="G33" s="20">
        <v>0</v>
      </c>
      <c r="H33" s="13">
        <v>0</v>
      </c>
      <c r="I33" s="13">
        <v>0</v>
      </c>
      <c r="J33" s="13">
        <v>0</v>
      </c>
      <c r="K33" s="13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3">
        <v>0</v>
      </c>
      <c r="T33" s="156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</row>
    <row r="34" spans="1:38" ht="44.25" customHeight="1">
      <c r="A34" s="50" t="s">
        <v>31</v>
      </c>
      <c r="B34" s="42" t="s">
        <v>102</v>
      </c>
      <c r="C34" s="25">
        <f aca="true" t="shared" si="30" ref="C34:S34">C29+C30</f>
        <v>10121451</v>
      </c>
      <c r="D34" s="25">
        <f t="shared" si="30"/>
        <v>23731874.150000006</v>
      </c>
      <c r="E34" s="25">
        <f t="shared" si="30"/>
        <v>11588807.906000018</v>
      </c>
      <c r="F34" s="25">
        <f t="shared" si="30"/>
        <v>12147325.62392503</v>
      </c>
      <c r="G34" s="25">
        <f t="shared" si="30"/>
        <v>13244865.24778749</v>
      </c>
      <c r="H34" s="25">
        <f t="shared" si="30"/>
        <v>14631848.604421943</v>
      </c>
      <c r="I34" s="25">
        <f t="shared" si="30"/>
        <v>17765508.380492747</v>
      </c>
      <c r="J34" s="25">
        <f t="shared" si="30"/>
        <v>18398775.117017552</v>
      </c>
      <c r="K34" s="25">
        <f t="shared" si="30"/>
        <v>19225501.051254794</v>
      </c>
      <c r="L34" s="37">
        <f t="shared" si="30"/>
        <v>18956755.29238853</v>
      </c>
      <c r="M34" s="37">
        <f t="shared" si="30"/>
        <v>18470873.958438814</v>
      </c>
      <c r="N34" s="37">
        <f t="shared" si="30"/>
        <v>18550565.521704897</v>
      </c>
      <c r="O34" s="37">
        <f t="shared" si="30"/>
        <v>19980476.366970062</v>
      </c>
      <c r="P34" s="37">
        <f t="shared" si="30"/>
        <v>21912821.56678161</v>
      </c>
      <c r="Q34" s="37">
        <f t="shared" si="30"/>
        <v>22764743.32745631</v>
      </c>
      <c r="R34" s="37">
        <f t="shared" si="30"/>
        <v>23082067.274533838</v>
      </c>
      <c r="S34" s="122">
        <f t="shared" si="30"/>
        <v>22505268.22032422</v>
      </c>
      <c r="T34" s="132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</row>
    <row r="35" spans="1:37" ht="26.25" customHeight="1">
      <c r="A35" s="50" t="s">
        <v>32</v>
      </c>
      <c r="B35" s="42" t="s">
        <v>103</v>
      </c>
      <c r="C35" s="25">
        <f>C37+C41+C43</f>
        <v>3535914</v>
      </c>
      <c r="D35" s="25">
        <f>D37+D41+D43</f>
        <v>8902700</v>
      </c>
      <c r="E35" s="25">
        <f aca="true" t="shared" si="31" ref="E35:R35">E37+E41+E43</f>
        <v>4782533</v>
      </c>
      <c r="F35" s="25">
        <f t="shared" si="31"/>
        <v>4727666</v>
      </c>
      <c r="G35" s="25">
        <f t="shared" si="31"/>
        <v>4567624</v>
      </c>
      <c r="H35" s="25">
        <f t="shared" si="31"/>
        <v>4408164</v>
      </c>
      <c r="I35" s="25">
        <f t="shared" si="31"/>
        <v>4263633</v>
      </c>
      <c r="J35" s="25">
        <f>J37+J41+J43</f>
        <v>3722433</v>
      </c>
      <c r="K35" s="25">
        <f t="shared" si="31"/>
        <v>3491620</v>
      </c>
      <c r="L35" s="25">
        <f t="shared" si="31"/>
        <v>3362789</v>
      </c>
      <c r="M35" s="25">
        <f>M37+M41+M43</f>
        <v>3242314</v>
      </c>
      <c r="N35" s="25">
        <f t="shared" si="31"/>
        <v>2657493</v>
      </c>
      <c r="O35" s="25">
        <f>O37+O41+O43</f>
        <v>2245953</v>
      </c>
      <c r="P35" s="25">
        <f t="shared" si="31"/>
        <v>2158442</v>
      </c>
      <c r="Q35" s="25">
        <f>Q37+Q41+Q43</f>
        <v>436200</v>
      </c>
      <c r="R35" s="25">
        <f t="shared" si="31"/>
        <v>436200</v>
      </c>
      <c r="S35" s="25">
        <f>S37+S41+S43</f>
        <v>436200</v>
      </c>
      <c r="T35" s="132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/>
      <c r="AF35"/>
      <c r="AG35"/>
      <c r="AH35"/>
      <c r="AI35"/>
      <c r="AJ35"/>
      <c r="AK35"/>
    </row>
    <row r="36" spans="1:37" ht="12.75" customHeight="1">
      <c r="A36" s="49" t="s">
        <v>33</v>
      </c>
      <c r="B36" s="44" t="s">
        <v>104</v>
      </c>
      <c r="C36" s="10">
        <f>C37+C41</f>
        <v>1936200</v>
      </c>
      <c r="D36" s="10">
        <f>D37+D41</f>
        <v>2281230</v>
      </c>
      <c r="E36" s="10">
        <f>E37+E41</f>
        <v>1947863</v>
      </c>
      <c r="F36" s="10">
        <f>F37+F41</f>
        <v>1790996</v>
      </c>
      <c r="G36" s="10">
        <f>G37+G41</f>
        <v>1630954</v>
      </c>
      <c r="H36" s="10">
        <f aca="true" t="shared" si="32" ref="H36:M36">H37+H39+H41</f>
        <v>1471494</v>
      </c>
      <c r="I36" s="10">
        <f t="shared" si="32"/>
        <v>1326963</v>
      </c>
      <c r="J36" s="10">
        <f t="shared" si="32"/>
        <v>1171963</v>
      </c>
      <c r="K36" s="10">
        <f t="shared" si="32"/>
        <v>1043150</v>
      </c>
      <c r="L36" s="19">
        <f t="shared" si="32"/>
        <v>914319</v>
      </c>
      <c r="M36" s="19">
        <f t="shared" si="32"/>
        <v>793844</v>
      </c>
      <c r="N36" s="19">
        <f aca="true" t="shared" si="33" ref="N36:S36">N37+N39+N41</f>
        <v>671973</v>
      </c>
      <c r="O36" s="19">
        <f t="shared" si="33"/>
        <v>587433</v>
      </c>
      <c r="P36" s="19">
        <f t="shared" si="33"/>
        <v>499900</v>
      </c>
      <c r="Q36" s="19">
        <f t="shared" si="33"/>
        <v>436200</v>
      </c>
      <c r="R36" s="19">
        <f t="shared" si="33"/>
        <v>436200</v>
      </c>
      <c r="S36" s="10">
        <f t="shared" si="33"/>
        <v>436200</v>
      </c>
      <c r="T36" s="134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/>
      <c r="AF36"/>
      <c r="AG36"/>
      <c r="AH36"/>
      <c r="AI36"/>
      <c r="AJ36"/>
      <c r="AK36"/>
    </row>
    <row r="37" spans="1:37" ht="14.25" customHeight="1">
      <c r="A37" s="49" t="s">
        <v>34</v>
      </c>
      <c r="B37" s="44" t="s">
        <v>35</v>
      </c>
      <c r="C37" s="10">
        <v>1500000</v>
      </c>
      <c r="D37" s="10">
        <v>1845030</v>
      </c>
      <c r="E37" s="10">
        <v>1511663</v>
      </c>
      <c r="F37" s="10">
        <v>1354796</v>
      </c>
      <c r="G37" s="10">
        <v>1194754</v>
      </c>
      <c r="H37" s="12">
        <v>1035294</v>
      </c>
      <c r="I37" s="12">
        <v>890763</v>
      </c>
      <c r="J37" s="12">
        <v>735763</v>
      </c>
      <c r="K37" s="12">
        <v>606950</v>
      </c>
      <c r="L37" s="71">
        <v>478119</v>
      </c>
      <c r="M37" s="71">
        <v>357644</v>
      </c>
      <c r="N37" s="71">
        <v>235773</v>
      </c>
      <c r="O37" s="71">
        <v>151233</v>
      </c>
      <c r="P37" s="71">
        <v>63700</v>
      </c>
      <c r="Q37" s="71">
        <v>0</v>
      </c>
      <c r="R37" s="85">
        <v>0</v>
      </c>
      <c r="S37" s="85">
        <v>0</v>
      </c>
      <c r="T37" s="132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/>
      <c r="AF37"/>
      <c r="AG37"/>
      <c r="AH37"/>
      <c r="AI37"/>
      <c r="AJ37"/>
      <c r="AK37"/>
    </row>
    <row r="38" spans="1:37" ht="51" customHeight="1">
      <c r="A38" s="49"/>
      <c r="B38" s="44" t="s">
        <v>38</v>
      </c>
      <c r="C38" s="10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12">
        <v>0</v>
      </c>
      <c r="T38" s="134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/>
      <c r="AF38"/>
      <c r="AG38"/>
      <c r="AH38"/>
      <c r="AI38"/>
      <c r="AJ38"/>
      <c r="AK38"/>
    </row>
    <row r="39" spans="1:30" ht="27.75" customHeight="1">
      <c r="A39" s="49" t="s">
        <v>37</v>
      </c>
      <c r="B39" s="44" t="s">
        <v>4</v>
      </c>
      <c r="C39" s="10">
        <v>0</v>
      </c>
      <c r="D39" s="12">
        <v>0</v>
      </c>
      <c r="E39" s="12">
        <v>0</v>
      </c>
      <c r="F39" s="12">
        <v>0</v>
      </c>
      <c r="G39" s="20">
        <v>0</v>
      </c>
      <c r="H39" s="13">
        <v>0</v>
      </c>
      <c r="I39" s="13">
        <v>0</v>
      </c>
      <c r="J39" s="13">
        <v>0</v>
      </c>
      <c r="K39" s="13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3">
        <v>0</v>
      </c>
      <c r="T39" s="146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</row>
    <row r="40" spans="1:30" ht="53.25" customHeight="1">
      <c r="A40" s="49"/>
      <c r="B40" s="44" t="s">
        <v>38</v>
      </c>
      <c r="C40" s="10">
        <v>0</v>
      </c>
      <c r="D40" s="12">
        <v>0</v>
      </c>
      <c r="E40" s="12">
        <v>0</v>
      </c>
      <c r="F40" s="12">
        <v>0</v>
      </c>
      <c r="G40" s="20">
        <v>0</v>
      </c>
      <c r="H40" s="13">
        <v>0</v>
      </c>
      <c r="I40" s="13">
        <v>0</v>
      </c>
      <c r="J40" s="13">
        <v>0</v>
      </c>
      <c r="K40" s="13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v>0</v>
      </c>
      <c r="T40" s="146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</row>
    <row r="41" spans="1:19" ht="39" customHeight="1">
      <c r="A41" s="49" t="s">
        <v>36</v>
      </c>
      <c r="B41" s="44" t="s">
        <v>81</v>
      </c>
      <c r="C41" s="10">
        <v>436200</v>
      </c>
      <c r="D41" s="10">
        <v>436200</v>
      </c>
      <c r="E41" s="10">
        <v>436200</v>
      </c>
      <c r="F41" s="10">
        <v>436200</v>
      </c>
      <c r="G41" s="10">
        <v>436200</v>
      </c>
      <c r="H41" s="10">
        <v>436200</v>
      </c>
      <c r="I41" s="10">
        <v>436200</v>
      </c>
      <c r="J41" s="10">
        <v>436200</v>
      </c>
      <c r="K41" s="10">
        <v>436200</v>
      </c>
      <c r="L41" s="19">
        <v>436200</v>
      </c>
      <c r="M41" s="19">
        <v>436200</v>
      </c>
      <c r="N41" s="19">
        <v>436200</v>
      </c>
      <c r="O41" s="19">
        <v>436200</v>
      </c>
      <c r="P41" s="19">
        <v>436200</v>
      </c>
      <c r="Q41" s="19">
        <v>436200</v>
      </c>
      <c r="R41" s="19">
        <v>436200</v>
      </c>
      <c r="S41" s="10">
        <v>436200</v>
      </c>
    </row>
    <row r="42" spans="1:19" ht="55.5" customHeight="1">
      <c r="A42" s="49"/>
      <c r="B42" s="44" t="s">
        <v>38</v>
      </c>
      <c r="C42" s="10">
        <v>0</v>
      </c>
      <c r="D42" s="12">
        <v>0</v>
      </c>
      <c r="E42" s="12">
        <v>0</v>
      </c>
      <c r="F42" s="12">
        <v>0</v>
      </c>
      <c r="G42" s="20">
        <v>0</v>
      </c>
      <c r="H42" s="13">
        <v>0</v>
      </c>
      <c r="I42" s="13">
        <v>0</v>
      </c>
      <c r="J42" s="13">
        <v>0</v>
      </c>
      <c r="K42" s="13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v>0</v>
      </c>
    </row>
    <row r="43" spans="1:19" ht="27.75" customHeight="1">
      <c r="A43" s="51" t="s">
        <v>39</v>
      </c>
      <c r="B43" s="52" t="s">
        <v>105</v>
      </c>
      <c r="C43" s="22">
        <v>1599714</v>
      </c>
      <c r="D43" s="26">
        <v>6621470</v>
      </c>
      <c r="E43" s="26">
        <v>2834670</v>
      </c>
      <c r="F43" s="26">
        <v>2936670</v>
      </c>
      <c r="G43" s="26">
        <v>2936670</v>
      </c>
      <c r="H43" s="26">
        <v>2936670</v>
      </c>
      <c r="I43" s="26">
        <v>2936670</v>
      </c>
      <c r="J43" s="26">
        <v>2550470</v>
      </c>
      <c r="K43" s="26">
        <v>2448470</v>
      </c>
      <c r="L43" s="26">
        <v>2448470</v>
      </c>
      <c r="M43" s="26">
        <v>2448470</v>
      </c>
      <c r="N43" s="75">
        <v>1985520</v>
      </c>
      <c r="O43" s="75">
        <v>1658520</v>
      </c>
      <c r="P43" s="75">
        <v>1658542</v>
      </c>
      <c r="Q43" s="75">
        <v>0</v>
      </c>
      <c r="R43" s="75">
        <v>0</v>
      </c>
      <c r="S43" s="26">
        <v>0</v>
      </c>
    </row>
    <row r="44" spans="1:19" ht="53.25" customHeight="1">
      <c r="A44" s="49"/>
      <c r="B44" s="44" t="s">
        <v>38</v>
      </c>
      <c r="C44" s="10">
        <v>0</v>
      </c>
      <c r="D44" s="12">
        <v>0</v>
      </c>
      <c r="E44" s="12">
        <v>0</v>
      </c>
      <c r="F44" s="12">
        <v>0</v>
      </c>
      <c r="G44" s="20">
        <v>0</v>
      </c>
      <c r="H44" s="13">
        <v>0</v>
      </c>
      <c r="I44" s="13">
        <v>0</v>
      </c>
      <c r="J44" s="13">
        <v>0</v>
      </c>
      <c r="K44" s="13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v>0</v>
      </c>
    </row>
    <row r="45" spans="1:19" ht="28.5" customHeight="1">
      <c r="A45" s="50" t="s">
        <v>40</v>
      </c>
      <c r="B45" s="42" t="s">
        <v>149</v>
      </c>
      <c r="C45" s="25">
        <v>0</v>
      </c>
      <c r="D45" s="14">
        <v>0</v>
      </c>
      <c r="E45" s="14">
        <v>0</v>
      </c>
      <c r="F45" s="14">
        <v>0</v>
      </c>
      <c r="G45" s="31">
        <v>0</v>
      </c>
      <c r="H45" s="53">
        <v>0</v>
      </c>
      <c r="I45" s="53">
        <v>0</v>
      </c>
      <c r="J45" s="53">
        <v>0</v>
      </c>
      <c r="K45" s="5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53">
        <v>0</v>
      </c>
    </row>
    <row r="46" spans="1:19" ht="37.5" customHeight="1">
      <c r="A46" s="50" t="s">
        <v>41</v>
      </c>
      <c r="B46" s="42" t="s">
        <v>106</v>
      </c>
      <c r="C46" s="25">
        <f aca="true" t="shared" si="34" ref="C46:S46">C34-C35-C45</f>
        <v>6585537</v>
      </c>
      <c r="D46" s="25">
        <f t="shared" si="34"/>
        <v>14829174.150000006</v>
      </c>
      <c r="E46" s="25">
        <f t="shared" si="34"/>
        <v>6806274.906000018</v>
      </c>
      <c r="F46" s="25">
        <f t="shared" si="34"/>
        <v>7419659.62392503</v>
      </c>
      <c r="G46" s="25">
        <f t="shared" si="34"/>
        <v>8677241.24778749</v>
      </c>
      <c r="H46" s="25">
        <f t="shared" si="34"/>
        <v>10223684.604421943</v>
      </c>
      <c r="I46" s="25">
        <f t="shared" si="34"/>
        <v>13501875.380492747</v>
      </c>
      <c r="J46" s="25">
        <f t="shared" si="34"/>
        <v>14676342.117017552</v>
      </c>
      <c r="K46" s="25">
        <f t="shared" si="34"/>
        <v>15733881.051254794</v>
      </c>
      <c r="L46" s="37">
        <f t="shared" si="34"/>
        <v>15593966.292388529</v>
      </c>
      <c r="M46" s="37">
        <f t="shared" si="34"/>
        <v>15228559.958438814</v>
      </c>
      <c r="N46" s="37">
        <f t="shared" si="34"/>
        <v>15893072.521704897</v>
      </c>
      <c r="O46" s="37">
        <f t="shared" si="34"/>
        <v>17734523.366970062</v>
      </c>
      <c r="P46" s="37">
        <f t="shared" si="34"/>
        <v>19754379.56678161</v>
      </c>
      <c r="Q46" s="37">
        <f t="shared" si="34"/>
        <v>22328543.32745631</v>
      </c>
      <c r="R46" s="37">
        <f t="shared" si="34"/>
        <v>22645867.274533838</v>
      </c>
      <c r="S46" s="25">
        <f t="shared" si="34"/>
        <v>22069068.22032422</v>
      </c>
    </row>
    <row r="47" spans="1:19" ht="22.5" customHeight="1">
      <c r="A47" s="41" t="s">
        <v>43</v>
      </c>
      <c r="B47" s="42" t="s">
        <v>8</v>
      </c>
      <c r="C47" s="25">
        <f>(18005104+985-1400-679262-2230580+25000+4800+11400+35000+115450+24500+10000-7500-379600-35+2099-115450-209880-200000-1700000-1764094)</f>
        <v>10946537</v>
      </c>
      <c r="D47" s="14">
        <v>18079208</v>
      </c>
      <c r="E47" s="14">
        <v>6950000</v>
      </c>
      <c r="F47" s="14">
        <f aca="true" t="shared" si="35" ref="F47:S47">F48+F52</f>
        <v>5400000</v>
      </c>
      <c r="G47" s="14">
        <f t="shared" si="35"/>
        <v>6735000</v>
      </c>
      <c r="H47" s="33">
        <f t="shared" si="35"/>
        <v>6800000</v>
      </c>
      <c r="I47" s="14">
        <f t="shared" si="35"/>
        <v>10000000</v>
      </c>
      <c r="J47" s="14">
        <f t="shared" si="35"/>
        <v>11000000</v>
      </c>
      <c r="K47" s="14">
        <f t="shared" si="35"/>
        <v>11000000</v>
      </c>
      <c r="L47" s="14">
        <f t="shared" si="35"/>
        <v>12000000</v>
      </c>
      <c r="M47" s="14">
        <f t="shared" si="35"/>
        <v>12000000</v>
      </c>
      <c r="N47" s="14">
        <f t="shared" si="35"/>
        <v>12000000</v>
      </c>
      <c r="O47" s="14">
        <f t="shared" si="35"/>
        <v>13000000</v>
      </c>
      <c r="P47" s="14">
        <f t="shared" si="35"/>
        <v>15000000</v>
      </c>
      <c r="Q47" s="14">
        <f t="shared" si="35"/>
        <v>18000000</v>
      </c>
      <c r="R47" s="14">
        <f t="shared" si="35"/>
        <v>18000000</v>
      </c>
      <c r="S47" s="14">
        <f t="shared" si="35"/>
        <v>18000000</v>
      </c>
    </row>
    <row r="48" spans="1:19" ht="26.25" customHeight="1">
      <c r="A48" s="43" t="s">
        <v>44</v>
      </c>
      <c r="B48" s="44" t="s">
        <v>82</v>
      </c>
      <c r="C48" s="10">
        <f>(12849882-799132+419870-1390000-275000-385000-7500+2100-1700000-1764094)</f>
        <v>6951126</v>
      </c>
      <c r="D48" s="118">
        <v>18079208</v>
      </c>
      <c r="E48" s="12">
        <v>6100000</v>
      </c>
      <c r="F48" s="12">
        <v>3400000</v>
      </c>
      <c r="G48" s="12">
        <v>4735000</v>
      </c>
      <c r="H48" s="12">
        <v>1800000</v>
      </c>
      <c r="I48" s="12">
        <v>0</v>
      </c>
      <c r="J48" s="12">
        <v>0</v>
      </c>
      <c r="K48" s="12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12">
        <v>0</v>
      </c>
    </row>
    <row r="49" spans="1:19" ht="42" customHeight="1">
      <c r="A49" s="150"/>
      <c r="B49" s="44" t="s">
        <v>84</v>
      </c>
      <c r="C49" s="10">
        <f>(4649688-799132+2100)</f>
        <v>3852656</v>
      </c>
      <c r="D49" s="12">
        <f>(3859908)</f>
        <v>3859908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12">
        <v>0</v>
      </c>
    </row>
    <row r="50" spans="1:19" ht="25.5" customHeight="1">
      <c r="A50" s="151"/>
      <c r="B50" s="44" t="s">
        <v>45</v>
      </c>
      <c r="C50" s="10">
        <f aca="true" t="shared" si="36" ref="C50:H50">C48-C49</f>
        <v>3098470</v>
      </c>
      <c r="D50" s="10">
        <f t="shared" si="36"/>
        <v>14219300</v>
      </c>
      <c r="E50" s="10">
        <f t="shared" si="36"/>
        <v>6100000</v>
      </c>
      <c r="F50" s="10">
        <f t="shared" si="36"/>
        <v>3400000</v>
      </c>
      <c r="G50" s="10">
        <f t="shared" si="36"/>
        <v>4735000</v>
      </c>
      <c r="H50" s="10">
        <f t="shared" si="36"/>
        <v>1800000</v>
      </c>
      <c r="I50" s="10">
        <f>I48-I49</f>
        <v>0</v>
      </c>
      <c r="J50" s="10">
        <f>J48-J49</f>
        <v>0</v>
      </c>
      <c r="K50" s="12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12">
        <v>0</v>
      </c>
    </row>
    <row r="51" spans="1:19" ht="27.75" customHeight="1">
      <c r="A51" s="152"/>
      <c r="B51" s="44" t="s">
        <v>21</v>
      </c>
      <c r="C51" s="10">
        <v>0</v>
      </c>
      <c r="D51" s="12">
        <v>0</v>
      </c>
      <c r="E51" s="12">
        <v>0</v>
      </c>
      <c r="F51" s="13">
        <v>0</v>
      </c>
      <c r="G51" s="20">
        <v>0</v>
      </c>
      <c r="H51" s="13">
        <v>0</v>
      </c>
      <c r="I51" s="13">
        <v>0</v>
      </c>
      <c r="J51" s="13">
        <v>0</v>
      </c>
      <c r="K51" s="13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13">
        <v>0</v>
      </c>
    </row>
    <row r="52" spans="1:19" ht="15.75" customHeight="1">
      <c r="A52" s="43" t="s">
        <v>46</v>
      </c>
      <c r="B52" s="44" t="s">
        <v>47</v>
      </c>
      <c r="C52" s="10">
        <f>C47-C48</f>
        <v>3995411</v>
      </c>
      <c r="D52" s="10">
        <f>D47-D48</f>
        <v>0</v>
      </c>
      <c r="E52" s="10">
        <f>E47-E48</f>
        <v>850000</v>
      </c>
      <c r="F52" s="10">
        <v>2000000</v>
      </c>
      <c r="G52" s="10">
        <v>2000000</v>
      </c>
      <c r="H52" s="10">
        <v>5000000</v>
      </c>
      <c r="I52" s="10">
        <v>10000000</v>
      </c>
      <c r="J52" s="10">
        <v>11000000</v>
      </c>
      <c r="K52" s="10">
        <v>11000000</v>
      </c>
      <c r="L52" s="10">
        <v>12000000</v>
      </c>
      <c r="M52" s="10">
        <v>12000000</v>
      </c>
      <c r="N52" s="10">
        <v>12000000</v>
      </c>
      <c r="O52" s="10">
        <v>13000000</v>
      </c>
      <c r="P52" s="10">
        <v>15000000</v>
      </c>
      <c r="Q52" s="10">
        <v>18000000</v>
      </c>
      <c r="R52" s="10">
        <v>18000000</v>
      </c>
      <c r="S52" s="10">
        <v>18000000</v>
      </c>
    </row>
    <row r="53" spans="1:19" ht="26.25" customHeight="1">
      <c r="A53" s="43"/>
      <c r="B53" s="44" t="s">
        <v>116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0">
        <v>0</v>
      </c>
    </row>
    <row r="54" spans="1:19" ht="43.5" customHeight="1">
      <c r="A54" s="41" t="s">
        <v>48</v>
      </c>
      <c r="B54" s="42" t="s">
        <v>97</v>
      </c>
      <c r="C54" s="25">
        <v>4361000</v>
      </c>
      <c r="D54" s="25">
        <v>3270000</v>
      </c>
      <c r="E54" s="25">
        <v>510000</v>
      </c>
      <c r="F54" s="25">
        <v>0</v>
      </c>
      <c r="G54" s="37">
        <v>0</v>
      </c>
      <c r="H54" s="53">
        <v>0</v>
      </c>
      <c r="I54" s="53">
        <v>0</v>
      </c>
      <c r="J54" s="53">
        <v>0</v>
      </c>
      <c r="K54" s="53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53">
        <v>0</v>
      </c>
    </row>
    <row r="55" spans="1:19" ht="51.75" customHeight="1">
      <c r="A55" s="43"/>
      <c r="B55" s="44" t="s">
        <v>38</v>
      </c>
      <c r="C55" s="10">
        <v>0</v>
      </c>
      <c r="D55" s="10">
        <v>0</v>
      </c>
      <c r="E55" s="10">
        <v>0</v>
      </c>
      <c r="F55" s="10">
        <v>0</v>
      </c>
      <c r="G55" s="19">
        <v>0</v>
      </c>
      <c r="H55" s="13">
        <v>0</v>
      </c>
      <c r="I55" s="13">
        <v>0</v>
      </c>
      <c r="J55" s="13">
        <v>0</v>
      </c>
      <c r="K55" s="13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13">
        <v>0</v>
      </c>
    </row>
    <row r="56" spans="1:19" ht="19.5" customHeight="1">
      <c r="A56" s="41" t="s">
        <v>49</v>
      </c>
      <c r="B56" s="42" t="s">
        <v>50</v>
      </c>
      <c r="C56" s="25">
        <f aca="true" t="shared" si="37" ref="C56:S56">C46-C47+C54</f>
        <v>0</v>
      </c>
      <c r="D56" s="25">
        <f t="shared" si="37"/>
        <v>19966.15000000596</v>
      </c>
      <c r="E56" s="25">
        <f t="shared" si="37"/>
        <v>366274.9060000181</v>
      </c>
      <c r="F56" s="25">
        <f t="shared" si="37"/>
        <v>2019659.6239250302</v>
      </c>
      <c r="G56" s="25">
        <f t="shared" si="37"/>
        <v>1942241.2477874905</v>
      </c>
      <c r="H56" s="25">
        <f t="shared" si="37"/>
        <v>3423684.6044219434</v>
      </c>
      <c r="I56" s="25">
        <f t="shared" si="37"/>
        <v>3501875.380492747</v>
      </c>
      <c r="J56" s="25">
        <f t="shared" si="37"/>
        <v>3676342.1170175523</v>
      </c>
      <c r="K56" s="25">
        <f t="shared" si="37"/>
        <v>4733881.051254794</v>
      </c>
      <c r="L56" s="37">
        <f t="shared" si="37"/>
        <v>3593966.2923885286</v>
      </c>
      <c r="M56" s="37">
        <f t="shared" si="37"/>
        <v>3228559.9584388137</v>
      </c>
      <c r="N56" s="37">
        <f t="shared" si="37"/>
        <v>3893072.5217048973</v>
      </c>
      <c r="O56" s="37">
        <f t="shared" si="37"/>
        <v>4734523.366970062</v>
      </c>
      <c r="P56" s="37">
        <f t="shared" si="37"/>
        <v>4754379.56678161</v>
      </c>
      <c r="Q56" s="37">
        <f t="shared" si="37"/>
        <v>4328543.32745631</v>
      </c>
      <c r="R56" s="37">
        <f t="shared" si="37"/>
        <v>4645867.274533838</v>
      </c>
      <c r="S56" s="25">
        <f t="shared" si="37"/>
        <v>4069068.2203242183</v>
      </c>
    </row>
    <row r="57" spans="1:19" ht="21" customHeight="1">
      <c r="A57" s="41" t="s">
        <v>51</v>
      </c>
      <c r="B57" s="42" t="s">
        <v>52</v>
      </c>
      <c r="C57" s="25">
        <v>32621282</v>
      </c>
      <c r="D57" s="25">
        <v>29269812</v>
      </c>
      <c r="E57" s="25">
        <v>26945142</v>
      </c>
      <c r="F57" s="25">
        <v>24008472</v>
      </c>
      <c r="G57" s="25">
        <v>21071802</v>
      </c>
      <c r="H57" s="25">
        <v>18135132</v>
      </c>
      <c r="I57" s="25">
        <v>15198462</v>
      </c>
      <c r="J57" s="25">
        <v>12647992</v>
      </c>
      <c r="K57" s="25">
        <v>10199522</v>
      </c>
      <c r="L57" s="37">
        <v>7751052</v>
      </c>
      <c r="M57" s="95">
        <v>5302582</v>
      </c>
      <c r="N57" s="95">
        <v>3317062</v>
      </c>
      <c r="O57" s="95">
        <v>1658542</v>
      </c>
      <c r="P57" s="88">
        <v>0</v>
      </c>
      <c r="Q57" s="88">
        <v>0</v>
      </c>
      <c r="R57" s="88">
        <v>0</v>
      </c>
      <c r="S57" s="87">
        <v>0</v>
      </c>
    </row>
    <row r="58" spans="1:19" ht="52.5" customHeight="1">
      <c r="A58" s="28"/>
      <c r="B58" s="44" t="s">
        <v>53</v>
      </c>
      <c r="C58" s="10">
        <v>0</v>
      </c>
      <c r="D58" s="22">
        <v>0</v>
      </c>
      <c r="E58" s="22">
        <v>0</v>
      </c>
      <c r="F58" s="22">
        <v>0</v>
      </c>
      <c r="G58" s="27">
        <v>0</v>
      </c>
      <c r="H58" s="54">
        <v>0</v>
      </c>
      <c r="I58" s="54">
        <v>0</v>
      </c>
      <c r="J58" s="54">
        <v>0</v>
      </c>
      <c r="K58" s="54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54">
        <v>0</v>
      </c>
    </row>
    <row r="59" spans="1:19" ht="18.75" customHeight="1">
      <c r="A59" s="41" t="s">
        <v>54</v>
      </c>
      <c r="B59" s="42" t="s">
        <v>55</v>
      </c>
      <c r="C59" s="113">
        <v>1599714</v>
      </c>
      <c r="D59" s="114">
        <v>6621470</v>
      </c>
      <c r="E59" s="114">
        <v>2834670</v>
      </c>
      <c r="F59" s="114">
        <v>2936670</v>
      </c>
      <c r="G59" s="114">
        <v>2936670</v>
      </c>
      <c r="H59" s="114">
        <v>2936670</v>
      </c>
      <c r="I59" s="114">
        <v>2936670</v>
      </c>
      <c r="J59" s="114">
        <v>2550470</v>
      </c>
      <c r="K59" s="114">
        <v>2448470</v>
      </c>
      <c r="L59" s="114">
        <v>2448470</v>
      </c>
      <c r="M59" s="114">
        <v>2448470</v>
      </c>
      <c r="N59" s="115">
        <v>1985520</v>
      </c>
      <c r="O59" s="115">
        <v>1658520</v>
      </c>
      <c r="P59" s="115">
        <v>1658542</v>
      </c>
      <c r="Q59" s="115">
        <v>0</v>
      </c>
      <c r="R59" s="115">
        <v>0</v>
      </c>
      <c r="S59" s="114">
        <v>0</v>
      </c>
    </row>
    <row r="60" spans="1:19" ht="51.75" customHeight="1">
      <c r="A60" s="28"/>
      <c r="B60" s="44" t="s">
        <v>53</v>
      </c>
      <c r="C60" s="22">
        <v>0</v>
      </c>
      <c r="D60" s="22">
        <f>D44</f>
        <v>0</v>
      </c>
      <c r="E60" s="22">
        <v>0</v>
      </c>
      <c r="F60" s="22">
        <v>0</v>
      </c>
      <c r="G60" s="27">
        <v>0</v>
      </c>
      <c r="H60" s="54">
        <v>0</v>
      </c>
      <c r="I60" s="54">
        <v>0</v>
      </c>
      <c r="J60" s="54">
        <v>0</v>
      </c>
      <c r="K60" s="54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54">
        <v>0</v>
      </c>
    </row>
    <row r="61" spans="1:19" ht="26.25" customHeight="1">
      <c r="A61" s="41" t="s">
        <v>56</v>
      </c>
      <c r="B61" s="42" t="s">
        <v>57</v>
      </c>
      <c r="C61" s="113">
        <f>C62+C63+C64+C65</f>
        <v>1599714</v>
      </c>
      <c r="D61" s="113">
        <f aca="true" t="shared" si="38" ref="D61:S61">D62+D63+D64+D65</f>
        <v>6621470</v>
      </c>
      <c r="E61" s="113">
        <f t="shared" si="38"/>
        <v>2834670</v>
      </c>
      <c r="F61" s="113">
        <f t="shared" si="38"/>
        <v>2936670</v>
      </c>
      <c r="G61" s="113">
        <f t="shared" si="38"/>
        <v>2936670</v>
      </c>
      <c r="H61" s="113">
        <f t="shared" si="38"/>
        <v>2936670</v>
      </c>
      <c r="I61" s="113">
        <f t="shared" si="38"/>
        <v>2936670</v>
      </c>
      <c r="J61" s="113">
        <f t="shared" si="38"/>
        <v>2550470</v>
      </c>
      <c r="K61" s="113">
        <f t="shared" si="38"/>
        <v>2448470</v>
      </c>
      <c r="L61" s="113">
        <f t="shared" si="38"/>
        <v>2448470</v>
      </c>
      <c r="M61" s="113">
        <f t="shared" si="38"/>
        <v>2448470</v>
      </c>
      <c r="N61" s="113">
        <f t="shared" si="38"/>
        <v>1985520</v>
      </c>
      <c r="O61" s="113">
        <f t="shared" si="38"/>
        <v>1658520</v>
      </c>
      <c r="P61" s="113">
        <v>1658542</v>
      </c>
      <c r="Q61" s="113">
        <f t="shared" si="38"/>
        <v>0</v>
      </c>
      <c r="R61" s="113">
        <f t="shared" si="38"/>
        <v>0</v>
      </c>
      <c r="S61" s="113">
        <f t="shared" si="38"/>
        <v>0</v>
      </c>
    </row>
    <row r="62" spans="1:19" ht="14.25" customHeight="1">
      <c r="A62" s="142"/>
      <c r="B62" s="55" t="s">
        <v>58</v>
      </c>
      <c r="C62" s="22">
        <v>0</v>
      </c>
      <c r="D62" s="22">
        <v>0</v>
      </c>
      <c r="E62" s="22">
        <f>E7-E16</f>
        <v>2670978.756000012</v>
      </c>
      <c r="F62" s="22">
        <v>2936670</v>
      </c>
      <c r="G62" s="118">
        <f>G7-G16</f>
        <v>2859251.6238624603</v>
      </c>
      <c r="H62" s="118">
        <v>2936670</v>
      </c>
      <c r="I62" s="118">
        <v>2936670</v>
      </c>
      <c r="J62" s="118">
        <v>2550470</v>
      </c>
      <c r="K62" s="118">
        <v>2448470</v>
      </c>
      <c r="L62" s="119">
        <f>+L7-L16</f>
        <v>1308555.2411337346</v>
      </c>
      <c r="M62" s="119">
        <f>+M7-M16</f>
        <v>2083063.666050285</v>
      </c>
      <c r="N62" s="119">
        <v>1985520</v>
      </c>
      <c r="O62" s="119">
        <v>1658520</v>
      </c>
      <c r="P62" s="119">
        <v>1658542</v>
      </c>
      <c r="Q62" s="22">
        <v>0</v>
      </c>
      <c r="R62" s="22">
        <v>0</v>
      </c>
      <c r="S62" s="22">
        <v>0</v>
      </c>
    </row>
    <row r="63" spans="1:19" ht="12.75" customHeight="1">
      <c r="A63" s="143"/>
      <c r="B63" s="55" t="s">
        <v>59</v>
      </c>
      <c r="C63" s="22">
        <v>89714</v>
      </c>
      <c r="D63" s="22">
        <v>0</v>
      </c>
      <c r="E63" s="22">
        <f>E59-E62</f>
        <v>163691.24399998784</v>
      </c>
      <c r="F63" s="22">
        <v>0</v>
      </c>
      <c r="G63" s="27">
        <f>G59-G62</f>
        <v>77418.37613753974</v>
      </c>
      <c r="H63" s="26">
        <v>0</v>
      </c>
      <c r="I63" s="26">
        <v>0</v>
      </c>
      <c r="J63" s="26">
        <v>0</v>
      </c>
      <c r="K63" s="26">
        <v>0</v>
      </c>
      <c r="L63" s="75">
        <f aca="true" t="shared" si="39" ref="I63:P63">L59-L62</f>
        <v>1139914.7588662654</v>
      </c>
      <c r="M63" s="75">
        <f t="shared" si="39"/>
        <v>365406.3339497149</v>
      </c>
      <c r="N63" s="75">
        <f t="shared" si="39"/>
        <v>0</v>
      </c>
      <c r="O63" s="75">
        <f t="shared" si="39"/>
        <v>0</v>
      </c>
      <c r="P63" s="26">
        <f t="shared" si="39"/>
        <v>0</v>
      </c>
      <c r="Q63" s="3">
        <v>0</v>
      </c>
      <c r="R63" s="85">
        <v>0</v>
      </c>
      <c r="S63" s="85">
        <v>0</v>
      </c>
    </row>
    <row r="64" spans="1:19" ht="39" customHeight="1">
      <c r="A64" s="143"/>
      <c r="B64" s="44" t="s">
        <v>147</v>
      </c>
      <c r="C64" s="22">
        <v>1510000</v>
      </c>
      <c r="D64" s="118">
        <v>6621470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</row>
    <row r="65" spans="1:19" ht="29.25" customHeight="1">
      <c r="A65" s="144"/>
      <c r="B65" s="55" t="s">
        <v>60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</row>
    <row r="66" spans="1:19" ht="22.5" customHeight="1">
      <c r="A66" s="41" t="s">
        <v>61</v>
      </c>
      <c r="B66" s="42" t="s">
        <v>150</v>
      </c>
      <c r="C66" s="25"/>
      <c r="D66" s="25"/>
      <c r="E66" s="25"/>
      <c r="F66" s="25"/>
      <c r="G66" s="37"/>
      <c r="H66" s="53"/>
      <c r="I66" s="53"/>
      <c r="J66" s="53"/>
      <c r="K66" s="53"/>
      <c r="L66" s="31"/>
      <c r="M66" s="87"/>
      <c r="N66" s="87"/>
      <c r="O66" s="87"/>
      <c r="P66" s="88"/>
      <c r="Q66" s="87"/>
      <c r="R66" s="87"/>
      <c r="S66" s="87"/>
    </row>
    <row r="67" spans="1:19" ht="39" customHeight="1">
      <c r="A67" s="28" t="s">
        <v>107</v>
      </c>
      <c r="B67" s="44" t="s">
        <v>62</v>
      </c>
      <c r="C67" s="35">
        <f aca="true" t="shared" si="40" ref="C67:S67">C35/C7</f>
        <v>0.03794753205399533</v>
      </c>
      <c r="D67" s="35">
        <f t="shared" si="40"/>
        <v>0.08935579972152762</v>
      </c>
      <c r="E67" s="35">
        <f t="shared" si="40"/>
        <v>0.04981370161252418</v>
      </c>
      <c r="F67" s="35">
        <f t="shared" si="40"/>
        <v>0.048402863368936795</v>
      </c>
      <c r="G67" s="35">
        <f t="shared" si="40"/>
        <v>0.046535138940127195</v>
      </c>
      <c r="H67" s="35">
        <f t="shared" si="40"/>
        <v>0.043790971960494765</v>
      </c>
      <c r="I67" s="35">
        <f t="shared" si="40"/>
        <v>0.041074593992250205</v>
      </c>
      <c r="J67" s="35">
        <f t="shared" si="40"/>
        <v>0.03531045264411752</v>
      </c>
      <c r="K67" s="35">
        <f t="shared" si="40"/>
        <v>0.03259596442566332</v>
      </c>
      <c r="L67" s="77">
        <f t="shared" si="40"/>
        <v>0.031472986217920544</v>
      </c>
      <c r="M67" s="77">
        <f t="shared" si="40"/>
        <v>0.029867462658878862</v>
      </c>
      <c r="N67" s="77">
        <f t="shared" si="40"/>
        <v>0.024144006876199556</v>
      </c>
      <c r="O67" s="77">
        <f t="shared" si="40"/>
        <v>0.020075996270418055</v>
      </c>
      <c r="P67" s="77">
        <f t="shared" si="40"/>
        <v>0.01893125923170686</v>
      </c>
      <c r="Q67" s="77">
        <f t="shared" si="40"/>
        <v>0.0037483720566535046</v>
      </c>
      <c r="R67" s="77">
        <f t="shared" si="40"/>
        <v>0.0036780446446917536</v>
      </c>
      <c r="S67" s="35">
        <f t="shared" si="40"/>
        <v>0.0036592217434840493</v>
      </c>
    </row>
    <row r="68" spans="1:19" ht="49.5" customHeight="1">
      <c r="A68" s="28"/>
      <c r="B68" s="44" t="s">
        <v>63</v>
      </c>
      <c r="C68" s="35">
        <f aca="true" t="shared" si="41" ref="C68:S68">(C35-C38-C60)/C7</f>
        <v>0.03794753205399533</v>
      </c>
      <c r="D68" s="35">
        <f t="shared" si="41"/>
        <v>0.08935579972152762</v>
      </c>
      <c r="E68" s="35">
        <f t="shared" si="41"/>
        <v>0.04981370161252418</v>
      </c>
      <c r="F68" s="35">
        <f t="shared" si="41"/>
        <v>0.048402863368936795</v>
      </c>
      <c r="G68" s="35">
        <f t="shared" si="41"/>
        <v>0.046535138940127195</v>
      </c>
      <c r="H68" s="35">
        <f t="shared" si="41"/>
        <v>0.043790971960494765</v>
      </c>
      <c r="I68" s="35">
        <f t="shared" si="41"/>
        <v>0.041074593992250205</v>
      </c>
      <c r="J68" s="35">
        <f t="shared" si="41"/>
        <v>0.03531045264411752</v>
      </c>
      <c r="K68" s="35">
        <f t="shared" si="41"/>
        <v>0.03259596442566332</v>
      </c>
      <c r="L68" s="35">
        <f t="shared" si="41"/>
        <v>0.031472986217920544</v>
      </c>
      <c r="M68" s="35">
        <f t="shared" si="41"/>
        <v>0.029867462658878862</v>
      </c>
      <c r="N68" s="35">
        <f t="shared" si="41"/>
        <v>0.024144006876199556</v>
      </c>
      <c r="O68" s="35">
        <f t="shared" si="41"/>
        <v>0.020075996270418055</v>
      </c>
      <c r="P68" s="35">
        <f t="shared" si="41"/>
        <v>0.01893125923170686</v>
      </c>
      <c r="Q68" s="35">
        <f t="shared" si="41"/>
        <v>0.0037483720566535046</v>
      </c>
      <c r="R68" s="35">
        <f t="shared" si="41"/>
        <v>0.0036780446446917536</v>
      </c>
      <c r="S68" s="35">
        <f t="shared" si="41"/>
        <v>0.0036592217434840493</v>
      </c>
    </row>
    <row r="69" spans="1:19" ht="37.5" customHeight="1">
      <c r="A69" s="28" t="s">
        <v>108</v>
      </c>
      <c r="B69" s="44" t="s">
        <v>64</v>
      </c>
      <c r="C69" s="35">
        <f aca="true" t="shared" si="42" ref="C69:S69">C57/C7</f>
        <v>0.3500925487264172</v>
      </c>
      <c r="D69" s="35">
        <f t="shared" si="42"/>
        <v>0.29377912980991894</v>
      </c>
      <c r="E69" s="35">
        <f t="shared" si="42"/>
        <v>0.2806540516281002</v>
      </c>
      <c r="F69" s="35">
        <f t="shared" si="42"/>
        <v>0.24580391041011457</v>
      </c>
      <c r="G69" s="35">
        <f t="shared" si="42"/>
        <v>0.21468037513351584</v>
      </c>
      <c r="H69" s="35">
        <f t="shared" si="42"/>
        <v>0.18015551529205162</v>
      </c>
      <c r="I69" s="35">
        <f t="shared" si="42"/>
        <v>0.14641754014865796</v>
      </c>
      <c r="J69" s="35">
        <f t="shared" si="42"/>
        <v>0.11997699422909082</v>
      </c>
      <c r="K69" s="35">
        <f t="shared" si="42"/>
        <v>0.095217479642908</v>
      </c>
      <c r="L69" s="77">
        <f t="shared" si="42"/>
        <v>0.07254357997792472</v>
      </c>
      <c r="M69" s="77">
        <f t="shared" si="42"/>
        <v>0.04884618512600667</v>
      </c>
      <c r="N69" s="77">
        <f t="shared" si="42"/>
        <v>0.030136360749315333</v>
      </c>
      <c r="O69" s="77">
        <f t="shared" si="42"/>
        <v>0.014825280407173125</v>
      </c>
      <c r="P69" s="77">
        <f t="shared" si="42"/>
        <v>0</v>
      </c>
      <c r="Q69" s="77">
        <f t="shared" si="42"/>
        <v>0</v>
      </c>
      <c r="R69" s="77">
        <f t="shared" si="42"/>
        <v>0</v>
      </c>
      <c r="S69" s="35">
        <f t="shared" si="42"/>
        <v>0</v>
      </c>
    </row>
    <row r="70" spans="1:19" ht="49.5" customHeight="1">
      <c r="A70" s="28"/>
      <c r="B70" s="44" t="s">
        <v>65</v>
      </c>
      <c r="C70" s="35">
        <f aca="true" t="shared" si="43" ref="C70:S70">(C57-C58)/C7</f>
        <v>0.3500925487264172</v>
      </c>
      <c r="D70" s="35">
        <f t="shared" si="43"/>
        <v>0.29377912980991894</v>
      </c>
      <c r="E70" s="35">
        <f t="shared" si="43"/>
        <v>0.2806540516281002</v>
      </c>
      <c r="F70" s="35">
        <f t="shared" si="43"/>
        <v>0.24580391041011457</v>
      </c>
      <c r="G70" s="35">
        <f t="shared" si="43"/>
        <v>0.21468037513351584</v>
      </c>
      <c r="H70" s="35">
        <f t="shared" si="43"/>
        <v>0.18015551529205162</v>
      </c>
      <c r="I70" s="35">
        <f t="shared" si="43"/>
        <v>0.14641754014865796</v>
      </c>
      <c r="J70" s="35">
        <f t="shared" si="43"/>
        <v>0.11997699422909082</v>
      </c>
      <c r="K70" s="35">
        <f t="shared" si="43"/>
        <v>0.095217479642908</v>
      </c>
      <c r="L70" s="77">
        <f t="shared" si="43"/>
        <v>0.07254357997792472</v>
      </c>
      <c r="M70" s="77">
        <f t="shared" si="43"/>
        <v>0.04884618512600667</v>
      </c>
      <c r="N70" s="77">
        <f t="shared" si="43"/>
        <v>0.030136360749315333</v>
      </c>
      <c r="O70" s="77">
        <f t="shared" si="43"/>
        <v>0.014825280407173125</v>
      </c>
      <c r="P70" s="77">
        <f t="shared" si="43"/>
        <v>0</v>
      </c>
      <c r="Q70" s="77">
        <f t="shared" si="43"/>
        <v>0</v>
      </c>
      <c r="R70" s="77">
        <f t="shared" si="43"/>
        <v>0</v>
      </c>
      <c r="S70" s="35">
        <f t="shared" si="43"/>
        <v>0</v>
      </c>
    </row>
    <row r="71" spans="1:19" ht="38.25" customHeight="1">
      <c r="A71" s="28" t="s">
        <v>109</v>
      </c>
      <c r="B71" s="44" t="s">
        <v>88</v>
      </c>
      <c r="C71" s="35">
        <f aca="true" t="shared" si="44" ref="C71:S71">(C8+C13-C20-C36)/C7</f>
        <v>0.02036495896329629</v>
      </c>
      <c r="D71" s="35">
        <f t="shared" si="44"/>
        <v>0.04828763398571683</v>
      </c>
      <c r="E71" s="35">
        <f t="shared" si="44"/>
        <v>0.09313067640720132</v>
      </c>
      <c r="F71" s="35">
        <f t="shared" si="44"/>
        <v>0.10192554828018793</v>
      </c>
      <c r="G71" s="35">
        <f t="shared" si="44"/>
        <v>0.09739357928176406</v>
      </c>
      <c r="H71" s="35">
        <f t="shared" si="44"/>
        <v>0.11109718215989335</v>
      </c>
      <c r="I71" s="35">
        <f t="shared" si="44"/>
        <v>0.12504752738736125</v>
      </c>
      <c r="J71" s="35">
        <f t="shared" si="44"/>
        <v>0.1298640205379362</v>
      </c>
      <c r="K71" s="35">
        <f t="shared" si="44"/>
        <v>0.13509711916632078</v>
      </c>
      <c r="L71" s="77">
        <f t="shared" si="44"/>
        <v>0.12423299299873607</v>
      </c>
      <c r="M71" s="77">
        <f t="shared" si="44"/>
        <v>0.12941077914873528</v>
      </c>
      <c r="N71" s="77">
        <f t="shared" si="44"/>
        <v>0.13278447946006358</v>
      </c>
      <c r="O71" s="77">
        <f t="shared" si="44"/>
        <v>0.13824049896964594</v>
      </c>
      <c r="P71" s="77">
        <f t="shared" si="44"/>
        <v>0.14597893061945102</v>
      </c>
      <c r="Q71" s="77">
        <f t="shared" si="44"/>
        <v>0.15072125635645692</v>
      </c>
      <c r="R71" s="77">
        <f t="shared" si="44"/>
        <v>0.1541597431626777</v>
      </c>
      <c r="S71" s="35">
        <f t="shared" si="44"/>
        <v>0.14587013464202445</v>
      </c>
    </row>
    <row r="72" spans="1:19" ht="71.25" customHeight="1">
      <c r="A72" s="28" t="s">
        <v>110</v>
      </c>
      <c r="B72" s="44" t="s">
        <v>86</v>
      </c>
      <c r="C72" s="35">
        <v>0</v>
      </c>
      <c r="D72" s="35">
        <v>0</v>
      </c>
      <c r="E72" s="35">
        <v>0</v>
      </c>
      <c r="F72" s="62">
        <f aca="true" t="shared" si="45" ref="F72:L72">(C71+D71+E71)/3</f>
        <v>0.053927756452071485</v>
      </c>
      <c r="G72" s="62">
        <f t="shared" si="45"/>
        <v>0.08111461955770204</v>
      </c>
      <c r="H72" s="62">
        <f t="shared" si="45"/>
        <v>0.09748326798971778</v>
      </c>
      <c r="I72" s="62">
        <f t="shared" si="45"/>
        <v>0.10347210324061512</v>
      </c>
      <c r="J72" s="62">
        <f t="shared" si="45"/>
        <v>0.11117942960967288</v>
      </c>
      <c r="K72" s="62">
        <f t="shared" si="45"/>
        <v>0.12200291002839692</v>
      </c>
      <c r="L72" s="78">
        <f t="shared" si="45"/>
        <v>0.13000288903053941</v>
      </c>
      <c r="M72" s="78">
        <f aca="true" t="shared" si="46" ref="M72:S72">(J71+K71+L71)/3</f>
        <v>0.12973137756766434</v>
      </c>
      <c r="N72" s="78">
        <f t="shared" si="46"/>
        <v>0.12958029710459737</v>
      </c>
      <c r="O72" s="78">
        <f t="shared" si="46"/>
        <v>0.12880941720251163</v>
      </c>
      <c r="P72" s="78">
        <f t="shared" si="46"/>
        <v>0.1334785858594816</v>
      </c>
      <c r="Q72" s="78">
        <f t="shared" si="46"/>
        <v>0.13900130301638683</v>
      </c>
      <c r="R72" s="78">
        <f t="shared" si="46"/>
        <v>0.14498022864851798</v>
      </c>
      <c r="S72" s="62">
        <f t="shared" si="46"/>
        <v>0.15028664337952855</v>
      </c>
    </row>
    <row r="73" spans="1:19" ht="52.5" customHeight="1">
      <c r="A73" s="28" t="s">
        <v>111</v>
      </c>
      <c r="B73" s="44" t="s">
        <v>87</v>
      </c>
      <c r="C73" s="35">
        <f aca="true" t="shared" si="47" ref="C73:S73">C35/C7</f>
        <v>0.03794753205399533</v>
      </c>
      <c r="D73" s="35">
        <f t="shared" si="47"/>
        <v>0.08935579972152762</v>
      </c>
      <c r="E73" s="35">
        <f t="shared" si="47"/>
        <v>0.04981370161252418</v>
      </c>
      <c r="F73" s="35">
        <f t="shared" si="47"/>
        <v>0.048402863368936795</v>
      </c>
      <c r="G73" s="35">
        <f t="shared" si="47"/>
        <v>0.046535138940127195</v>
      </c>
      <c r="H73" s="35">
        <f t="shared" si="47"/>
        <v>0.043790971960494765</v>
      </c>
      <c r="I73" s="35">
        <f t="shared" si="47"/>
        <v>0.041074593992250205</v>
      </c>
      <c r="J73" s="35">
        <f t="shared" si="47"/>
        <v>0.03531045264411752</v>
      </c>
      <c r="K73" s="35">
        <f t="shared" si="47"/>
        <v>0.03259596442566332</v>
      </c>
      <c r="L73" s="77">
        <f t="shared" si="47"/>
        <v>0.031472986217920544</v>
      </c>
      <c r="M73" s="77">
        <f t="shared" si="47"/>
        <v>0.029867462658878862</v>
      </c>
      <c r="N73" s="77">
        <f t="shared" si="47"/>
        <v>0.024144006876199556</v>
      </c>
      <c r="O73" s="77">
        <f t="shared" si="47"/>
        <v>0.020075996270418055</v>
      </c>
      <c r="P73" s="77">
        <f t="shared" si="47"/>
        <v>0.01893125923170686</v>
      </c>
      <c r="Q73" s="77">
        <f t="shared" si="47"/>
        <v>0.0037483720566535046</v>
      </c>
      <c r="R73" s="77">
        <f t="shared" si="47"/>
        <v>0.0036780446446917536</v>
      </c>
      <c r="S73" s="35">
        <f t="shared" si="47"/>
        <v>0.0036592217434840493</v>
      </c>
    </row>
    <row r="74" spans="1:19" ht="51" customHeight="1">
      <c r="A74" s="28"/>
      <c r="B74" s="44" t="s">
        <v>66</v>
      </c>
      <c r="C74" s="62">
        <f aca="true" t="shared" si="48" ref="C74:S74">(C43-C44+C36)/C7</f>
        <v>0.03794753205399533</v>
      </c>
      <c r="D74" s="62">
        <f t="shared" si="48"/>
        <v>0.08935579972152762</v>
      </c>
      <c r="E74" s="62">
        <f t="shared" si="48"/>
        <v>0.04981370161252418</v>
      </c>
      <c r="F74" s="62">
        <f t="shared" si="48"/>
        <v>0.048402863368936795</v>
      </c>
      <c r="G74" s="62">
        <f t="shared" si="48"/>
        <v>0.046535138940127195</v>
      </c>
      <c r="H74" s="62">
        <f t="shared" si="48"/>
        <v>0.043790971960494765</v>
      </c>
      <c r="I74" s="62">
        <f t="shared" si="48"/>
        <v>0.041074593992250205</v>
      </c>
      <c r="J74" s="62">
        <f t="shared" si="48"/>
        <v>0.03531045264411752</v>
      </c>
      <c r="K74" s="62">
        <f t="shared" si="48"/>
        <v>0.03259596442566332</v>
      </c>
      <c r="L74" s="78">
        <f t="shared" si="48"/>
        <v>0.031472986217920544</v>
      </c>
      <c r="M74" s="78">
        <f t="shared" si="48"/>
        <v>0.029867462658878862</v>
      </c>
      <c r="N74" s="78">
        <f t="shared" si="48"/>
        <v>0.024144006876199556</v>
      </c>
      <c r="O74" s="78">
        <f t="shared" si="48"/>
        <v>0.020075996270418055</v>
      </c>
      <c r="P74" s="78">
        <f t="shared" si="48"/>
        <v>0.01893125923170686</v>
      </c>
      <c r="Q74" s="78">
        <f t="shared" si="48"/>
        <v>0.0037483720566535046</v>
      </c>
      <c r="R74" s="78">
        <f t="shared" si="48"/>
        <v>0.0036780446446917536</v>
      </c>
      <c r="S74" s="62">
        <f t="shared" si="48"/>
        <v>0.0036592217434840493</v>
      </c>
    </row>
    <row r="75" spans="1:19" ht="43.5" customHeight="1">
      <c r="A75" s="28"/>
      <c r="B75" s="44" t="s">
        <v>85</v>
      </c>
      <c r="C75" s="22"/>
      <c r="D75" s="22"/>
      <c r="E75" s="22"/>
      <c r="F75" s="120" t="s">
        <v>148</v>
      </c>
      <c r="G75" s="120" t="s">
        <v>148</v>
      </c>
      <c r="H75" s="120" t="s">
        <v>148</v>
      </c>
      <c r="I75" s="120" t="s">
        <v>148</v>
      </c>
      <c r="J75" s="120" t="s">
        <v>148</v>
      </c>
      <c r="K75" s="120" t="s">
        <v>148</v>
      </c>
      <c r="L75" s="120" t="s">
        <v>148</v>
      </c>
      <c r="M75" s="120" t="s">
        <v>148</v>
      </c>
      <c r="N75" s="120" t="s">
        <v>148</v>
      </c>
      <c r="O75" s="120" t="s">
        <v>148</v>
      </c>
      <c r="P75" s="120" t="s">
        <v>148</v>
      </c>
      <c r="Q75" s="120" t="s">
        <v>148</v>
      </c>
      <c r="R75" s="120" t="s">
        <v>148</v>
      </c>
      <c r="S75" s="120" t="s">
        <v>148</v>
      </c>
    </row>
    <row r="76" spans="1:19" ht="43.5" customHeight="1">
      <c r="A76" s="127"/>
      <c r="B76" s="56"/>
      <c r="C76" s="29"/>
      <c r="D76" s="29"/>
      <c r="E76" s="29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</row>
    <row r="77" spans="1:19" s="30" customFormat="1" ht="27.75" customHeight="1">
      <c r="A77" s="141" t="s">
        <v>70</v>
      </c>
      <c r="B77" s="135" t="s">
        <v>91</v>
      </c>
      <c r="C77" s="137">
        <v>2011</v>
      </c>
      <c r="D77" s="138" t="s">
        <v>71</v>
      </c>
      <c r="E77" s="138"/>
      <c r="F77" s="138"/>
      <c r="G77" s="138"/>
      <c r="H77" s="138"/>
      <c r="I77" s="138"/>
      <c r="J77" s="138"/>
      <c r="K77" s="138"/>
      <c r="L77" s="145"/>
      <c r="M77" s="128"/>
      <c r="N77" s="128"/>
      <c r="O77" s="128"/>
      <c r="P77" s="129"/>
      <c r="Q77" s="130"/>
      <c r="R77" s="130"/>
      <c r="S77" s="130"/>
    </row>
    <row r="78" spans="1:19" s="30" customFormat="1" ht="18.75" customHeight="1">
      <c r="A78" s="141"/>
      <c r="B78" s="136"/>
      <c r="C78" s="138"/>
      <c r="D78" s="58">
        <v>2012</v>
      </c>
      <c r="E78" s="58">
        <v>2013</v>
      </c>
      <c r="F78" s="58">
        <v>2014</v>
      </c>
      <c r="G78" s="58">
        <v>2015</v>
      </c>
      <c r="H78" s="58">
        <v>2016</v>
      </c>
      <c r="I78" s="58">
        <v>2017</v>
      </c>
      <c r="J78" s="58">
        <v>2018</v>
      </c>
      <c r="K78" s="58">
        <v>2019</v>
      </c>
      <c r="L78" s="79">
        <v>2020</v>
      </c>
      <c r="M78" s="92">
        <v>2021</v>
      </c>
      <c r="N78" s="92">
        <v>2022</v>
      </c>
      <c r="O78" s="92">
        <v>2023</v>
      </c>
      <c r="P78" s="93">
        <v>2024</v>
      </c>
      <c r="Q78" s="92">
        <v>2025</v>
      </c>
      <c r="R78" s="92">
        <v>2026</v>
      </c>
      <c r="S78" s="92">
        <v>2027</v>
      </c>
    </row>
    <row r="79" spans="1:19" s="59" customFormat="1" ht="14.25" customHeight="1">
      <c r="A79" s="45" t="s">
        <v>121</v>
      </c>
      <c r="B79" s="126" t="s">
        <v>122</v>
      </c>
      <c r="C79" s="60" t="s">
        <v>123</v>
      </c>
      <c r="D79" s="60" t="s">
        <v>72</v>
      </c>
      <c r="E79" s="60" t="s">
        <v>73</v>
      </c>
      <c r="F79" s="60" t="s">
        <v>74</v>
      </c>
      <c r="G79" s="60" t="s">
        <v>75</v>
      </c>
      <c r="H79" s="61" t="s">
        <v>76</v>
      </c>
      <c r="I79" s="61" t="s">
        <v>42</v>
      </c>
      <c r="J79" s="61" t="s">
        <v>77</v>
      </c>
      <c r="K79" s="61" t="s">
        <v>78</v>
      </c>
      <c r="L79" s="80" t="s">
        <v>79</v>
      </c>
      <c r="M79" s="89">
        <v>13</v>
      </c>
      <c r="N79" s="89">
        <v>14</v>
      </c>
      <c r="O79" s="89">
        <v>15</v>
      </c>
      <c r="P79" s="90">
        <v>16</v>
      </c>
      <c r="Q79" s="89">
        <v>17</v>
      </c>
      <c r="R79" s="89">
        <v>18</v>
      </c>
      <c r="S79" s="89">
        <v>19</v>
      </c>
    </row>
    <row r="80" spans="1:19" ht="21.75" customHeight="1">
      <c r="A80" s="28" t="s">
        <v>94</v>
      </c>
      <c r="B80" s="124" t="s">
        <v>67</v>
      </c>
      <c r="C80" s="22">
        <f>C7</f>
        <v>93179024</v>
      </c>
      <c r="D80" s="22">
        <f aca="true" t="shared" si="49" ref="D80:S80">D7</f>
        <v>99632033.15</v>
      </c>
      <c r="E80" s="22">
        <f t="shared" si="49"/>
        <v>96008384.143</v>
      </c>
      <c r="F80" s="22">
        <f t="shared" si="49"/>
        <v>97673271.18573</v>
      </c>
      <c r="G80" s="22">
        <f t="shared" si="49"/>
        <v>98154300.2563455</v>
      </c>
      <c r="H80" s="22">
        <f t="shared" si="49"/>
        <v>100663762.47544232</v>
      </c>
      <c r="I80" s="22">
        <f t="shared" si="49"/>
        <v>103802194.63166077</v>
      </c>
      <c r="J80" s="22">
        <f t="shared" si="49"/>
        <v>105420143.93067068</v>
      </c>
      <c r="K80" s="22">
        <f t="shared" si="49"/>
        <v>107118168.20032458</v>
      </c>
      <c r="L80" s="27">
        <f t="shared" si="49"/>
        <v>106846836.09988195</v>
      </c>
      <c r="M80" s="27">
        <f t="shared" si="49"/>
        <v>108556727.33338597</v>
      </c>
      <c r="N80" s="27">
        <f t="shared" si="49"/>
        <v>110068432.86727513</v>
      </c>
      <c r="O80" s="27">
        <f t="shared" si="49"/>
        <v>111872555.1523143</v>
      </c>
      <c r="P80" s="27">
        <f t="shared" si="49"/>
        <v>114014708.34993118</v>
      </c>
      <c r="Q80" s="27">
        <f t="shared" si="49"/>
        <v>116370518.56304611</v>
      </c>
      <c r="R80" s="27">
        <f t="shared" si="49"/>
        <v>118595624.0714845</v>
      </c>
      <c r="S80" s="22">
        <f t="shared" si="49"/>
        <v>119205675.57206346</v>
      </c>
    </row>
    <row r="81" spans="1:19" ht="22.5" customHeight="1">
      <c r="A81" s="28" t="s">
        <v>95</v>
      </c>
      <c r="B81" s="124" t="s">
        <v>113</v>
      </c>
      <c r="C81" s="22">
        <f>C16</f>
        <v>98827926</v>
      </c>
      <c r="D81" s="22">
        <f aca="true" t="shared" si="50" ref="D81:S81">D16</f>
        <v>105960597</v>
      </c>
      <c r="E81" s="22">
        <f t="shared" si="50"/>
        <v>93337405.387</v>
      </c>
      <c r="F81" s="22">
        <f t="shared" si="50"/>
        <v>93083216.46780498</v>
      </c>
      <c r="G81" s="22">
        <f t="shared" si="50"/>
        <v>95295048.63248304</v>
      </c>
      <c r="H81" s="22">
        <f t="shared" si="50"/>
        <v>96245649.11880787</v>
      </c>
      <c r="I81" s="22">
        <f t="shared" si="50"/>
        <v>100787333.85558997</v>
      </c>
      <c r="J81" s="22">
        <f t="shared" si="50"/>
        <v>102695207.19414587</v>
      </c>
      <c r="K81" s="22">
        <f t="shared" si="50"/>
        <v>103612159.26608734</v>
      </c>
      <c r="L81" s="27">
        <f t="shared" si="50"/>
        <v>105538280.85874821</v>
      </c>
      <c r="M81" s="27">
        <f t="shared" si="50"/>
        <v>106473663.66733569</v>
      </c>
      <c r="N81" s="27">
        <f t="shared" si="50"/>
        <v>107418400.30400905</v>
      </c>
      <c r="O81" s="27">
        <f t="shared" si="50"/>
        <v>109372584.30704914</v>
      </c>
      <c r="P81" s="27">
        <f t="shared" si="50"/>
        <v>112336310.15011963</v>
      </c>
      <c r="Q81" s="27">
        <f t="shared" si="50"/>
        <v>116796354.80237141</v>
      </c>
      <c r="R81" s="27">
        <f t="shared" si="50"/>
        <v>118278300.12440698</v>
      </c>
      <c r="S81" s="22">
        <f t="shared" si="50"/>
        <v>119782474.62627308</v>
      </c>
    </row>
    <row r="82" spans="1:19" ht="21.75" customHeight="1">
      <c r="A82" s="57" t="s">
        <v>112</v>
      </c>
      <c r="B82" s="125" t="s">
        <v>68</v>
      </c>
      <c r="C82" s="36">
        <f>C80-C81</f>
        <v>-5648902</v>
      </c>
      <c r="D82" s="36">
        <f aca="true" t="shared" si="51" ref="D82:S82">D80-D81</f>
        <v>-6328563.849999994</v>
      </c>
      <c r="E82" s="36">
        <f t="shared" si="51"/>
        <v>2670978.756000012</v>
      </c>
      <c r="F82" s="36">
        <f t="shared" si="51"/>
        <v>4590054.717925012</v>
      </c>
      <c r="G82" s="36">
        <f t="shared" si="51"/>
        <v>2859251.6238624603</v>
      </c>
      <c r="H82" s="36">
        <f t="shared" si="51"/>
        <v>4418113.356634453</v>
      </c>
      <c r="I82" s="36">
        <f t="shared" si="51"/>
        <v>3014860.7760708034</v>
      </c>
      <c r="J82" s="36">
        <f t="shared" si="51"/>
        <v>2724936.7365248054</v>
      </c>
      <c r="K82" s="36">
        <f t="shared" si="51"/>
        <v>3506008.9342372417</v>
      </c>
      <c r="L82" s="81">
        <f t="shared" si="51"/>
        <v>1308555.2411337346</v>
      </c>
      <c r="M82" s="81">
        <f t="shared" si="51"/>
        <v>2083063.666050285</v>
      </c>
      <c r="N82" s="81">
        <f t="shared" si="51"/>
        <v>2650032.5632660836</v>
      </c>
      <c r="O82" s="81">
        <f t="shared" si="51"/>
        <v>2499970.845265165</v>
      </c>
      <c r="P82" s="81">
        <f t="shared" si="51"/>
        <v>1678398.199811548</v>
      </c>
      <c r="Q82" s="81">
        <f t="shared" si="51"/>
        <v>-425836.23932529986</v>
      </c>
      <c r="R82" s="81">
        <f t="shared" si="51"/>
        <v>317323.94707752764</v>
      </c>
      <c r="S82" s="36">
        <f t="shared" si="51"/>
        <v>-576799.0542096198</v>
      </c>
    </row>
    <row r="83" spans="1:19" ht="23.25" customHeight="1">
      <c r="A83" s="28" t="s">
        <v>117</v>
      </c>
      <c r="B83" s="124" t="s">
        <v>69</v>
      </c>
      <c r="C83" s="22">
        <f>C30+C54</f>
        <v>7248616</v>
      </c>
      <c r="D83" s="22">
        <f aca="true" t="shared" si="52" ref="D83:S83">D30+D54</f>
        <v>12970000</v>
      </c>
      <c r="E83" s="22">
        <f t="shared" si="52"/>
        <v>529966.150000006</v>
      </c>
      <c r="F83" s="22">
        <f t="shared" si="52"/>
        <v>366274.9060000181</v>
      </c>
      <c r="G83" s="22">
        <f t="shared" si="52"/>
        <v>2019659.6239250302</v>
      </c>
      <c r="H83" s="22">
        <f t="shared" si="52"/>
        <v>1942241.2477874905</v>
      </c>
      <c r="I83" s="22">
        <f t="shared" si="52"/>
        <v>3423684.6044219434</v>
      </c>
      <c r="J83" s="22">
        <f t="shared" si="52"/>
        <v>3501875.380492747</v>
      </c>
      <c r="K83" s="22">
        <f t="shared" si="52"/>
        <v>3676342.1170175523</v>
      </c>
      <c r="L83" s="27">
        <f t="shared" si="52"/>
        <v>4733881.051254794</v>
      </c>
      <c r="M83" s="27">
        <f t="shared" si="52"/>
        <v>3593966.2923885286</v>
      </c>
      <c r="N83" s="27">
        <f t="shared" si="52"/>
        <v>3228559.9584388137</v>
      </c>
      <c r="O83" s="27">
        <f t="shared" si="52"/>
        <v>3893072.5217048973</v>
      </c>
      <c r="P83" s="27">
        <f t="shared" si="52"/>
        <v>4734523.366970062</v>
      </c>
      <c r="Q83" s="27">
        <f t="shared" si="52"/>
        <v>4754379.56678161</v>
      </c>
      <c r="R83" s="27">
        <f t="shared" si="52"/>
        <v>4328543.32745631</v>
      </c>
      <c r="S83" s="22">
        <f t="shared" si="52"/>
        <v>4645867.274533838</v>
      </c>
    </row>
    <row r="84" spans="1:19" ht="21.75" customHeight="1">
      <c r="A84" s="28" t="s">
        <v>118</v>
      </c>
      <c r="B84" s="124" t="s">
        <v>126</v>
      </c>
      <c r="C84" s="22">
        <f>C43</f>
        <v>1599714</v>
      </c>
      <c r="D84" s="22">
        <f aca="true" t="shared" si="53" ref="D84:S84">D43</f>
        <v>6621470</v>
      </c>
      <c r="E84" s="22">
        <f t="shared" si="53"/>
        <v>2834670</v>
      </c>
      <c r="F84" s="22">
        <f t="shared" si="53"/>
        <v>2936670</v>
      </c>
      <c r="G84" s="22">
        <f t="shared" si="53"/>
        <v>2936670</v>
      </c>
      <c r="H84" s="22">
        <f t="shared" si="53"/>
        <v>2936670</v>
      </c>
      <c r="I84" s="22">
        <f t="shared" si="53"/>
        <v>2936670</v>
      </c>
      <c r="J84" s="22">
        <f t="shared" si="53"/>
        <v>2550470</v>
      </c>
      <c r="K84" s="22">
        <f t="shared" si="53"/>
        <v>2448470</v>
      </c>
      <c r="L84" s="27">
        <f t="shared" si="53"/>
        <v>2448470</v>
      </c>
      <c r="M84" s="27">
        <f t="shared" si="53"/>
        <v>2448470</v>
      </c>
      <c r="N84" s="27">
        <f t="shared" si="53"/>
        <v>1985520</v>
      </c>
      <c r="O84" s="27">
        <f t="shared" si="53"/>
        <v>1658520</v>
      </c>
      <c r="P84" s="27">
        <f t="shared" si="53"/>
        <v>1658542</v>
      </c>
      <c r="Q84" s="27">
        <f t="shared" si="53"/>
        <v>0</v>
      </c>
      <c r="R84" s="27">
        <f t="shared" si="53"/>
        <v>0</v>
      </c>
      <c r="S84" s="22">
        <f t="shared" si="53"/>
        <v>0</v>
      </c>
    </row>
    <row r="85" spans="1:19" ht="27.75" customHeight="1" thickBot="1">
      <c r="A85" s="63" t="s">
        <v>120</v>
      </c>
      <c r="B85" s="123" t="s">
        <v>7</v>
      </c>
      <c r="C85" s="64">
        <f>C83-C84</f>
        <v>5648902</v>
      </c>
      <c r="D85" s="64">
        <f aca="true" t="shared" si="54" ref="D85:S85">D83-D84</f>
        <v>6348530</v>
      </c>
      <c r="E85" s="64">
        <f t="shared" si="54"/>
        <v>-2304703.849999994</v>
      </c>
      <c r="F85" s="64">
        <f t="shared" si="54"/>
        <v>-2570395.093999982</v>
      </c>
      <c r="G85" s="64">
        <f t="shared" si="54"/>
        <v>-917010.3760749698</v>
      </c>
      <c r="H85" s="64">
        <f t="shared" si="54"/>
        <v>-994428.7522125095</v>
      </c>
      <c r="I85" s="64">
        <f t="shared" si="54"/>
        <v>487014.6044219434</v>
      </c>
      <c r="J85" s="64">
        <f t="shared" si="54"/>
        <v>951405.3804927468</v>
      </c>
      <c r="K85" s="64">
        <f t="shared" si="54"/>
        <v>1227872.1170175523</v>
      </c>
      <c r="L85" s="82">
        <f t="shared" si="54"/>
        <v>2285411.051254794</v>
      </c>
      <c r="M85" s="82">
        <f t="shared" si="54"/>
        <v>1145496.2923885286</v>
      </c>
      <c r="N85" s="82">
        <f t="shared" si="54"/>
        <v>1243039.9584388137</v>
      </c>
      <c r="O85" s="82">
        <f t="shared" si="54"/>
        <v>2234552.5217048973</v>
      </c>
      <c r="P85" s="82">
        <f t="shared" si="54"/>
        <v>3075981.3669700623</v>
      </c>
      <c r="Q85" s="82">
        <f t="shared" si="54"/>
        <v>4754379.56678161</v>
      </c>
      <c r="R85" s="82">
        <f t="shared" si="54"/>
        <v>4328543.32745631</v>
      </c>
      <c r="S85" s="64">
        <f t="shared" si="54"/>
        <v>4645867.274533838</v>
      </c>
    </row>
    <row r="86" spans="1:19" ht="26.25" customHeight="1" thickBot="1">
      <c r="A86" s="65"/>
      <c r="B86" s="67" t="s">
        <v>89</v>
      </c>
      <c r="C86" s="66">
        <f>C82+C85</f>
        <v>0</v>
      </c>
      <c r="D86" s="66">
        <f aca="true" t="shared" si="55" ref="D86:S86">D82+D85</f>
        <v>19966.15000000596</v>
      </c>
      <c r="E86" s="66">
        <f t="shared" si="55"/>
        <v>366274.9060000181</v>
      </c>
      <c r="F86" s="66">
        <f t="shared" si="55"/>
        <v>2019659.6239250302</v>
      </c>
      <c r="G86" s="66">
        <f t="shared" si="55"/>
        <v>1942241.2477874905</v>
      </c>
      <c r="H86" s="66">
        <f t="shared" si="55"/>
        <v>3423684.6044219434</v>
      </c>
      <c r="I86" s="66">
        <f t="shared" si="55"/>
        <v>3501875.380492747</v>
      </c>
      <c r="J86" s="66">
        <f t="shared" si="55"/>
        <v>3676342.1170175523</v>
      </c>
      <c r="K86" s="66">
        <f t="shared" si="55"/>
        <v>4733881.051254794</v>
      </c>
      <c r="L86" s="83">
        <f t="shared" si="55"/>
        <v>3593966.2923885286</v>
      </c>
      <c r="M86" s="83">
        <f t="shared" si="55"/>
        <v>3228559.9584388137</v>
      </c>
      <c r="N86" s="83">
        <f t="shared" si="55"/>
        <v>3893072.5217048973</v>
      </c>
      <c r="O86" s="83">
        <f t="shared" si="55"/>
        <v>4734523.366970062</v>
      </c>
      <c r="P86" s="83">
        <f t="shared" si="55"/>
        <v>4754379.56678161</v>
      </c>
      <c r="Q86" s="83">
        <f t="shared" si="55"/>
        <v>4328543.32745631</v>
      </c>
      <c r="R86" s="83">
        <f t="shared" si="55"/>
        <v>4645867.274533838</v>
      </c>
      <c r="S86" s="94">
        <f t="shared" si="55"/>
        <v>4069068.2203242183</v>
      </c>
    </row>
    <row r="87" spans="13:19" ht="12.75">
      <c r="M87" s="5"/>
      <c r="N87" s="5"/>
      <c r="O87" s="5"/>
      <c r="P87" s="5"/>
      <c r="Q87" s="5"/>
      <c r="R87" s="5"/>
      <c r="S87" s="5"/>
    </row>
    <row r="88" spans="13:19" ht="12.75">
      <c r="M88" s="5"/>
      <c r="N88" s="5"/>
      <c r="O88" s="5"/>
      <c r="P88" s="5"/>
      <c r="Q88" s="5"/>
      <c r="R88" s="5"/>
      <c r="S88" s="5"/>
    </row>
    <row r="108" spans="11:28" ht="12.75">
      <c r="K108" s="139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</row>
    <row r="109" spans="11:28" ht="12.75"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/>
      <c r="W109"/>
      <c r="X109"/>
      <c r="Y109"/>
      <c r="Z109"/>
      <c r="AA109"/>
      <c r="AB109"/>
    </row>
    <row r="110" spans="11:28" ht="12.75">
      <c r="K110" s="132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</row>
    <row r="111" spans="11:29" ht="12.75">
      <c r="K111" s="132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</row>
    <row r="112" spans="11:29" ht="12.75">
      <c r="K112" s="132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</row>
    <row r="113" spans="11:29" ht="82.5" customHeight="1">
      <c r="K113" s="132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</row>
    <row r="114" spans="11:28" ht="12.75">
      <c r="K114" s="132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/>
      <c r="W114"/>
      <c r="X114"/>
      <c r="Y114"/>
      <c r="Z114"/>
      <c r="AA114"/>
      <c r="AB114"/>
    </row>
    <row r="115" spans="11:28" ht="12.75">
      <c r="K115" s="134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/>
      <c r="W115"/>
      <c r="X115"/>
      <c r="Y115"/>
      <c r="Z115"/>
      <c r="AA115"/>
      <c r="AB115"/>
    </row>
  </sheetData>
  <sheetProtection/>
  <protectedRanges>
    <protectedRange sqref="C21:C22 C23:S28 E21:S21" name="Zakres4"/>
    <protectedRange sqref="E78:L78 C79:C86 D77:D79 E44:G45 C56:L57 C77 C30:C34 D34:L34 D33:G33 E79:G79 C39:G40 E77:G77 C61:S61 E42:G42 C42:D45 C58:G58 C51:G51 C54:G55 M37:Q37 C41:S41 M38:S38 C46:S46 M56:S56 D80:S86 D30 C35:L38 M34:S36 F30:K30 D31:S32 C66:G66 C64:O65 C48:S50 C60:G60 C62:F62 C63:G63 E43:S43 C59:S59 C52:S53 C67:S76 Q64:S65 Q62:S62 C47:H47 L62:M62 O62" name="Zakres2"/>
    <protectedRange sqref="C13:S15 C20:S20 C9:S11" name="Zakres1"/>
    <protectedRange sqref="T30:U30 T34:U38 T32:U32 K109:L109 K113:L115 K111:L111" name="Zakres2_1"/>
  </protectedRanges>
  <mergeCells count="30">
    <mergeCell ref="F1:G1"/>
    <mergeCell ref="F2:G2"/>
    <mergeCell ref="C5:C6"/>
    <mergeCell ref="E5:S5"/>
    <mergeCell ref="J1:S1"/>
    <mergeCell ref="L4:S4"/>
    <mergeCell ref="A49:A51"/>
    <mergeCell ref="T29:AK29"/>
    <mergeCell ref="T31:AK31"/>
    <mergeCell ref="T32:AL32"/>
    <mergeCell ref="T33:AL33"/>
    <mergeCell ref="T34:AL34"/>
    <mergeCell ref="A77:A78"/>
    <mergeCell ref="A62:A65"/>
    <mergeCell ref="D77:L77"/>
    <mergeCell ref="T37:AD38"/>
    <mergeCell ref="T39:AD39"/>
    <mergeCell ref="T5:U5"/>
    <mergeCell ref="T40:AD40"/>
    <mergeCell ref="A24:A27"/>
    <mergeCell ref="T35:AD36"/>
    <mergeCell ref="A5:B6"/>
    <mergeCell ref="K111:AC111"/>
    <mergeCell ref="K112:AC112"/>
    <mergeCell ref="K113:AC113"/>
    <mergeCell ref="K114:U115"/>
    <mergeCell ref="B77:B78"/>
    <mergeCell ref="C77:C78"/>
    <mergeCell ref="K108:AB108"/>
    <mergeCell ref="K110:AB110"/>
  </mergeCells>
  <printOptions/>
  <pageMargins left="0.5905511811023623" right="0.5905511811023623" top="0.5905511811023623" bottom="0.38" header="0.32" footer="0.39"/>
  <pageSetup horizontalDpi="600" verticalDpi="600" orientation="landscape" paperSize="9" scale="6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skarbnik</cp:lastModifiedBy>
  <cp:lastPrinted>2011-09-22T07:08:24Z</cp:lastPrinted>
  <dcterms:created xsi:type="dcterms:W3CDTF">2004-10-05T07:26:56Z</dcterms:created>
  <dcterms:modified xsi:type="dcterms:W3CDTF">2011-09-22T07:09:09Z</dcterms:modified>
  <cp:category/>
  <cp:version/>
  <cp:contentType/>
  <cp:contentStatus/>
</cp:coreProperties>
</file>