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'!$A$1:$AL$94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<sst xmlns="http://schemas.openxmlformats.org/spreadsheetml/2006/main" count="218" uniqueCount="153">
  <si>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</si>
  <si>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</si>
  <si>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</si>
  <si>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</si>
  <si>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</si>
  <si>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</si>
  <si>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</si>
  <si>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</si>
  <si>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</si>
  <si>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</si>
  <si>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</si>
  <si>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</si>
  <si>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</si>
  <si>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</si>
  <si>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</si>
  <si>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</si>
  <si>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</si>
  <si>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</si>
  <si>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</si>
  <si>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</si>
  <si>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</si>
  <si>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</si>
  <si>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</si>
  <si>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</si>
  <si>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</si>
  <si>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</si>
  <si>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</si>
  <si>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</si>
  <si>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</si>
  <si>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</si>
  <si>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</si>
  <si>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</si>
  <si>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</si>
  <si>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</si>
  <si>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</si>
  <si>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</si>
  <si>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</si>
  <si>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</si>
  <si>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</si>
  <si>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</si>
  <si>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</si>
  <si>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</si>
  <si>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</si>
  <si>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</si>
  <si>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</si>
  <si>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</si>
  <si>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</si>
  <si>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</si>
  <si>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</si>
  <si>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</si>
  <si>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</si>
  <si>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</si>
  <si>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</si>
  <si>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</si>
  <si>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</si>
  <si>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</si>
  <si>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</si>
  <si>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</si>
  <si>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</si>
  <si>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</si>
  <si>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</si>
  <si>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</si>
  <si>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</si>
  <si>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</si>
  <si>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</si>
  <si>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</si>
  <si>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</si>
  <si>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</si>
  <si>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</si>
  <si>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</si>
  <si>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</si>
  <si>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</si>
  <si>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</si>
  <si>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</si>
  <si>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</si>
  <si>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</si>
  <si>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</si>
  <si>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</si>
  <si>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</si>
  <si>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</si>
  <si>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</si>
  <si>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</si>
  <si>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</si>
  <si>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</si>
  <si>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</si>
  <si>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</si>
  <si>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</si>
  <si>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</si>
  <si>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</si>
  <si>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</si>
  <si>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Załącznik nr 1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</si>
  <si>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</si>
  <si>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</si>
  <si>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</si>
  <si>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</si>
  <si>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</si>
  <si>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</si>
  <si>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</si>
  <si>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</si>
  <si>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</si>
  <si>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</si>
  <si>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</si>
  <si>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</si>
  <si>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</si>
  <si>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</si>
  <si>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</si>
  <si>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</si>
  <si>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</si>
  <si>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</si>
  <si>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</si>
  <si>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</si>
  <si>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</si>
  <si>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</si>
  <si>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</si>
  <si>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</si>
  <si>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</si>
  <si>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</si>
  <si>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</si>
  <si>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</si>
  <si>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</si>
  <si>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</si>
  <si>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</si>
  <si>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</si>
  <si>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</si>
  <si>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</si>
  <si>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</si>
  <si>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</si>
  <si>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</si>
  <si>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</si>
  <si>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</si>
  <si>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</si>
  <si>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</si>
  <si>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</si>
  <si>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</si>
  <si>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</si>
  <si>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</si>
  <si>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</si>
  <si>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</si>
  <si>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</si>
  <si>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</si>
  <si>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</si>
  <si>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</si>
  <si>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</si>
  <si>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</si>
  <si>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</si>
  <si>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</si>
  <si>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</si>
  <si>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</si>
  <si>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</si>
  <si>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Pozostałe rozchody (z wyłączeniem spłat długu)</t>
  </si>
  <si>
    <t>Wskaźniki zadłużenia</t>
  </si>
  <si>
    <t>Wieloletnia Prognoza Finansowa wraz z prognozą kwoty długu na lata 2011-2027</t>
  </si>
  <si>
    <t>Plan po zmianach na 2011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</si>
</sst>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23"/>
      <name val="Arial Narrow"/>
      <family val="2"/>
    </font>
    <font>
      <sz val="10"/>
      <color theme="0" tint="-0.499969989061355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right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6" borderId="10" xfId="55" applyFont="1" applyFill="1" applyBorder="1">
      <alignment/>
      <protection/>
    </xf>
    <xf numFmtId="0" fontId="22" fillId="26" borderId="11" xfId="55" applyFont="1" applyFill="1" applyBorder="1">
      <alignment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3" fontId="22" fillId="27" borderId="10" xfId="55" applyNumberFormat="1" applyFont="1" applyFill="1" applyBorder="1" applyAlignment="1">
      <alignment horizontal="right" vertical="center" wrapText="1"/>
      <protection/>
    </xf>
    <xf numFmtId="0" fontId="24" fillId="26" borderId="10" xfId="55" applyFont="1" applyFill="1" applyBorder="1" applyAlignment="1">
      <alignment horizontal="center" vertical="center"/>
      <protection/>
    </xf>
    <xf numFmtId="0" fontId="24" fillId="26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6" borderId="10" xfId="55" applyNumberFormat="1" applyFont="1" applyFill="1" applyBorder="1" applyAlignment="1">
      <alignment horizontal="right" vertical="center" wrapText="1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7" borderId="10" xfId="55" applyNumberFormat="1" applyFont="1" applyFill="1" applyBorder="1" applyAlignment="1">
      <alignment vertical="center"/>
      <protection/>
    </xf>
    <xf numFmtId="3" fontId="22" fillId="27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9" fillId="26" borderId="13" xfId="55" applyFont="1" applyFill="1" applyBorder="1" applyAlignment="1">
      <alignment horizontal="center" vertical="center"/>
      <protection/>
    </xf>
    <xf numFmtId="0" fontId="29" fillId="26" borderId="23" xfId="55" applyFont="1" applyFill="1" applyBorder="1" applyAlignment="1">
      <alignment horizontal="center" vertical="center"/>
      <protection/>
    </xf>
    <xf numFmtId="0" fontId="22" fillId="26" borderId="13" xfId="55" applyFont="1" applyFill="1" applyBorder="1" applyAlignment="1">
      <alignment horizontal="center" vertical="center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3" fontId="24" fillId="26" borderId="10" xfId="55" applyNumberFormat="1" applyFont="1" applyFill="1" applyBorder="1" applyAlignment="1">
      <alignment horizontal="right" vertical="center"/>
      <protection/>
    </xf>
    <xf numFmtId="3" fontId="24" fillId="26" borderId="11" xfId="55" applyNumberFormat="1" applyFont="1" applyFill="1" applyBorder="1" applyAlignment="1">
      <alignment horizontal="right" vertical="center"/>
      <protection/>
    </xf>
    <xf numFmtId="3" fontId="22" fillId="0" borderId="10" xfId="55" applyNumberFormat="1" applyFont="1" applyBorder="1">
      <alignment/>
      <protection/>
    </xf>
    <xf numFmtId="0" fontId="0" fillId="26" borderId="0" xfId="55" applyFill="1">
      <alignment/>
      <protection/>
    </xf>
    <xf numFmtId="3" fontId="22" fillId="25" borderId="24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49" fontId="24" fillId="20" borderId="24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49" fontId="24" fillId="20" borderId="20" xfId="55" applyNumberFormat="1" applyFont="1" applyFill="1" applyBorder="1" applyAlignment="1">
      <alignment horizontal="center" vertical="center" wrapText="1"/>
      <protection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3" fontId="22" fillId="25" borderId="17" xfId="55" applyNumberFormat="1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/>
    </xf>
    <xf numFmtId="49" fontId="24" fillId="2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23" xfId="55" applyNumberFormat="1" applyFont="1" applyFill="1" applyBorder="1" applyAlignment="1">
      <alignment horizontal="center" vertical="center" wrapText="1"/>
      <protection/>
    </xf>
    <xf numFmtId="0" fontId="0" fillId="0" borderId="24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6" xfId="55" applyFont="1" applyFill="1" applyBorder="1" applyAlignment="1">
      <alignment horizontal="center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3" fontId="22" fillId="25" borderId="25" xfId="55" applyNumberFormat="1" applyFont="1" applyFill="1" applyBorder="1" applyAlignment="1">
      <alignment horizontal="left" vertical="center" wrapText="1"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0" xfId="55" applyFont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33" zoomScalePageLayoutView="72" workbookViewId="0" topLeftCell="A1">
      <selection activeCell="D32" sqref="D32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3" width="9.8515625" style="3" customWidth="1"/>
    <col min="4" max="4" width="9.28125" style="3" customWidth="1"/>
    <col min="5" max="6" width="8.7109375" style="3" customWidth="1"/>
    <col min="7" max="7" width="9.28125" style="3" customWidth="1"/>
    <col min="8" max="8" width="9.8515625" style="3" customWidth="1"/>
    <col min="9" max="9" width="9.421875" style="3" customWidth="1"/>
    <col min="10" max="10" width="10.00390625" style="3" customWidth="1"/>
    <col min="11" max="11" width="9.7109375" style="3" customWidth="1"/>
    <col min="12" max="12" width="9.57421875" style="3" customWidth="1"/>
    <col min="13" max="13" width="10.57421875" style="3" bestFit="1" customWidth="1"/>
    <col min="14" max="17" width="10.7109375" style="3" bestFit="1" customWidth="1"/>
    <col min="18" max="19" width="10.57421875" style="3" bestFit="1" customWidth="1"/>
    <col min="20" max="20" width="4.57421875" style="3" customWidth="1"/>
    <col min="21" max="21" width="29.7109375" style="3" customWidth="1"/>
    <col min="22" max="24" width="9.28125" style="3" bestFit="1" customWidth="1"/>
    <col min="25" max="16384" width="9.140625" style="3" customWidth="1"/>
  </cols>
  <sheetData>
    <row r="1" spans="1:19" ht="12" customHeight="1">
      <c r="A1" s="4"/>
      <c r="B1" s="5"/>
      <c r="C1" s="5"/>
      <c r="D1" s="5"/>
      <c r="E1" s="1"/>
      <c r="F1" s="158"/>
      <c r="G1" s="158"/>
      <c r="J1" s="164" t="s">
        <v>90</v>
      </c>
      <c r="K1" s="164"/>
      <c r="L1" s="164"/>
      <c r="M1" s="164"/>
      <c r="N1" s="164"/>
      <c r="O1" s="164"/>
      <c r="P1" s="164"/>
      <c r="Q1" s="164"/>
      <c r="R1" s="164"/>
      <c r="S1" s="164"/>
    </row>
    <row r="2" spans="1:7" ht="12.75" customHeight="1">
      <c r="A2" s="4"/>
      <c r="B2" s="5"/>
      <c r="C2" s="5"/>
      <c r="D2" s="5"/>
      <c r="E2" s="2"/>
      <c r="F2" s="158"/>
      <c r="G2" s="158"/>
    </row>
    <row r="3" spans="1:37" ht="17.25" customHeight="1">
      <c r="A3" s="4"/>
      <c r="B3" s="16" t="s">
        <v>151</v>
      </c>
      <c r="C3" s="17"/>
      <c r="D3" s="17"/>
      <c r="E3" s="17"/>
      <c r="F3" s="17"/>
      <c r="G3" s="17"/>
      <c r="H3" s="18"/>
      <c r="I3" s="18"/>
      <c r="J3" s="18"/>
      <c r="K3" s="18"/>
      <c r="L3" s="18"/>
      <c r="S3" s="111"/>
      <c r="T3" s="110" t="s">
        <v>129</v>
      </c>
      <c r="U3" s="107"/>
      <c r="V3" s="105"/>
      <c r="W3" s="105"/>
      <c r="X3" s="97"/>
      <c r="Y3" s="97"/>
      <c r="Z3" s="97"/>
      <c r="AA3" s="97"/>
      <c r="AB3" s="97"/>
      <c r="AC3" s="39"/>
      <c r="AD3" s="98"/>
      <c r="AE3"/>
      <c r="AF3"/>
      <c r="AG3"/>
      <c r="AH3"/>
      <c r="AI3"/>
      <c r="AJ3"/>
      <c r="AK3"/>
    </row>
    <row r="4" spans="1:37" ht="12" customHeight="1">
      <c r="A4" s="6"/>
      <c r="B4" s="6"/>
      <c r="C4" s="6"/>
      <c r="D4" s="6"/>
      <c r="E4" s="6"/>
      <c r="F4" s="6"/>
      <c r="G4" s="4"/>
      <c r="L4" s="165" t="s">
        <v>93</v>
      </c>
      <c r="M4" s="165"/>
      <c r="N4" s="165"/>
      <c r="O4" s="165"/>
      <c r="P4" s="165"/>
      <c r="Q4" s="165"/>
      <c r="R4" s="165"/>
      <c r="S4" s="165"/>
      <c r="T4" s="108"/>
      <c r="U4" s="108"/>
      <c r="V4" s="106"/>
      <c r="W4" s="106"/>
      <c r="X4" s="97"/>
      <c r="Y4" s="97"/>
      <c r="Z4" s="97"/>
      <c r="AA4" s="97"/>
      <c r="AB4" s="97"/>
      <c r="AC4" s="39"/>
      <c r="AD4" s="39"/>
      <c r="AE4"/>
      <c r="AF4"/>
      <c r="AG4"/>
      <c r="AH4"/>
      <c r="AI4"/>
      <c r="AJ4"/>
      <c r="AK4"/>
    </row>
    <row r="5" spans="1:37" ht="29.25" customHeight="1">
      <c r="A5" s="154" t="s">
        <v>91</v>
      </c>
      <c r="B5" s="155"/>
      <c r="C5" s="159" t="s">
        <v>152</v>
      </c>
      <c r="D5" s="84" t="s">
        <v>114</v>
      </c>
      <c r="E5" s="16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  <c r="T5" s="149" t="s">
        <v>91</v>
      </c>
      <c r="U5" s="150"/>
      <c r="V5" s="100" t="s">
        <v>130</v>
      </c>
      <c r="W5" s="100" t="s">
        <v>131</v>
      </c>
      <c r="X5" s="100" t="s">
        <v>132</v>
      </c>
      <c r="Y5" s="100" t="s">
        <v>133</v>
      </c>
      <c r="Z5" s="100" t="s">
        <v>134</v>
      </c>
      <c r="AA5" s="100" t="s">
        <v>135</v>
      </c>
      <c r="AB5" s="100" t="s">
        <v>136</v>
      </c>
      <c r="AC5" s="100" t="s">
        <v>137</v>
      </c>
      <c r="AD5" s="100" t="s">
        <v>138</v>
      </c>
      <c r="AE5" s="109" t="s">
        <v>140</v>
      </c>
      <c r="AF5" s="109" t="s">
        <v>141</v>
      </c>
      <c r="AG5" s="109" t="s">
        <v>142</v>
      </c>
      <c r="AH5" s="109" t="s">
        <v>143</v>
      </c>
      <c r="AI5" s="109" t="s">
        <v>144</v>
      </c>
      <c r="AJ5" s="109" t="s">
        <v>145</v>
      </c>
      <c r="AK5" s="109" t="s">
        <v>146</v>
      </c>
    </row>
    <row r="6" spans="1:37" ht="21.75" customHeight="1">
      <c r="A6" s="155"/>
      <c r="B6" s="155"/>
      <c r="C6" s="160"/>
      <c r="D6" s="7">
        <v>2012</v>
      </c>
      <c r="E6" s="8">
        <v>2013</v>
      </c>
      <c r="F6" s="32">
        <v>2014</v>
      </c>
      <c r="G6" s="8">
        <v>2015</v>
      </c>
      <c r="H6" s="40">
        <v>2016</v>
      </c>
      <c r="I6" s="40">
        <v>2017</v>
      </c>
      <c r="J6" s="40">
        <v>2018</v>
      </c>
      <c r="K6" s="40">
        <v>2019</v>
      </c>
      <c r="L6" s="68">
        <v>2020</v>
      </c>
      <c r="M6" s="40">
        <v>2021</v>
      </c>
      <c r="N6" s="40">
        <v>2022</v>
      </c>
      <c r="O6" s="40">
        <v>2023</v>
      </c>
      <c r="P6" s="40">
        <v>2024</v>
      </c>
      <c r="Q6" s="40">
        <v>2025</v>
      </c>
      <c r="R6" s="40">
        <v>2026</v>
      </c>
      <c r="S6" s="40">
        <v>2027</v>
      </c>
      <c r="T6" s="99"/>
      <c r="U6" s="99"/>
      <c r="V6" s="100"/>
      <c r="W6" s="100"/>
      <c r="X6" s="100"/>
      <c r="Y6" s="100"/>
      <c r="Z6" s="100"/>
      <c r="AA6" s="100"/>
      <c r="AB6" s="100"/>
      <c r="AC6" s="100"/>
      <c r="AD6" s="100"/>
      <c r="AE6" s="103"/>
      <c r="AF6" s="103"/>
      <c r="AG6" s="103"/>
      <c r="AH6" s="103"/>
      <c r="AI6" s="103"/>
      <c r="AJ6" s="103"/>
      <c r="AK6" s="103"/>
    </row>
    <row r="7" spans="1:37" ht="29.25" customHeight="1">
      <c r="A7" s="41" t="s">
        <v>121</v>
      </c>
      <c r="B7" s="42" t="s">
        <v>2</v>
      </c>
      <c r="C7" s="24">
        <f>C8+C12</f>
        <v>93567128</v>
      </c>
      <c r="D7" s="24">
        <f aca="true" t="shared" si="0" ref="D7:S7">D8+D12</f>
        <v>99122127.57000001</v>
      </c>
      <c r="E7" s="24">
        <f t="shared" si="0"/>
        <v>94664731.5943</v>
      </c>
      <c r="F7" s="24">
        <f t="shared" si="0"/>
        <v>95384115.261172</v>
      </c>
      <c r="G7" s="24">
        <f t="shared" si="0"/>
        <v>95815391.4223313</v>
      </c>
      <c r="H7" s="24">
        <f t="shared" si="0"/>
        <v>98274065.97587314</v>
      </c>
      <c r="I7" s="24">
        <f t="shared" si="0"/>
        <v>101360654.61833677</v>
      </c>
      <c r="J7" s="24">
        <f t="shared" si="0"/>
        <v>102925683.03747913</v>
      </c>
      <c r="K7" s="24">
        <f t="shared" si="0"/>
        <v>104569687.10887212</v>
      </c>
      <c r="L7" s="69">
        <f t="shared" si="0"/>
        <v>104243213.09639938</v>
      </c>
      <c r="M7" s="69">
        <f t="shared" si="0"/>
        <v>105896817.8567307</v>
      </c>
      <c r="N7" s="69">
        <f t="shared" si="0"/>
        <v>107351069.04785265</v>
      </c>
      <c r="O7" s="69">
        <f t="shared" si="0"/>
        <v>109096545.34173693</v>
      </c>
      <c r="P7" s="69">
        <f t="shared" si="0"/>
        <v>111178836.64122815</v>
      </c>
      <c r="Q7" s="69">
        <f t="shared" si="0"/>
        <v>113473544.30123578</v>
      </c>
      <c r="R7" s="69">
        <f t="shared" si="0"/>
        <v>115636281.3543154</v>
      </c>
      <c r="S7" s="24">
        <f t="shared" si="0"/>
        <v>116182672.74072716</v>
      </c>
      <c r="T7" s="41" t="s">
        <v>121</v>
      </c>
      <c r="U7" s="42" t="s">
        <v>2</v>
      </c>
      <c r="V7" s="114">
        <f>D7/C7</f>
        <v>1.0593691362419504</v>
      </c>
      <c r="W7" s="114">
        <f aca="true" t="shared" si="1" ref="W7:AK14">E7/D7</f>
        <v>0.9550312721793406</v>
      </c>
      <c r="X7" s="114">
        <f t="shared" si="1"/>
        <v>1.0075992785777392</v>
      </c>
      <c r="Y7" s="114">
        <f t="shared" si="1"/>
        <v>1.0045214673321488</v>
      </c>
      <c r="Z7" s="114">
        <f t="shared" si="1"/>
        <v>1.0256605386362676</v>
      </c>
      <c r="AA7" s="114">
        <f t="shared" si="1"/>
        <v>1.0314079672171232</v>
      </c>
      <c r="AB7" s="114">
        <f t="shared" si="1"/>
        <v>1.015440196445409</v>
      </c>
      <c r="AC7" s="114">
        <f t="shared" si="1"/>
        <v>1.015972729282684</v>
      </c>
      <c r="AD7" s="114">
        <f t="shared" si="1"/>
        <v>0.9968779287621581</v>
      </c>
      <c r="AE7" s="114">
        <f t="shared" si="1"/>
        <v>1.015862948879004</v>
      </c>
      <c r="AF7" s="114">
        <f t="shared" si="1"/>
        <v>1.0137327185136897</v>
      </c>
      <c r="AG7" s="114">
        <f t="shared" si="1"/>
        <v>1.0162595147804836</v>
      </c>
      <c r="AH7" s="114">
        <f t="shared" si="1"/>
        <v>1.0190866841197272</v>
      </c>
      <c r="AI7" s="114">
        <f t="shared" si="1"/>
        <v>1.0206397883745861</v>
      </c>
      <c r="AJ7" s="114">
        <f t="shared" si="1"/>
        <v>1.019059394561064</v>
      </c>
      <c r="AK7" s="114">
        <f t="shared" si="1"/>
        <v>1.0047250861063024</v>
      </c>
    </row>
    <row r="8" spans="1:37" ht="15.75" customHeight="1">
      <c r="A8" s="43" t="s">
        <v>9</v>
      </c>
      <c r="B8" s="44" t="s">
        <v>98</v>
      </c>
      <c r="C8" s="11">
        <f>C9+C10+C11</f>
        <v>87164695</v>
      </c>
      <c r="D8" s="11">
        <f>D9+D10+D11</f>
        <v>89153191.57000001</v>
      </c>
      <c r="E8" s="11">
        <f aca="true" t="shared" si="2" ref="E8:S8">E9+E10+E11</f>
        <v>91195078.5943</v>
      </c>
      <c r="F8" s="11">
        <f t="shared" si="2"/>
        <v>92699462.261172</v>
      </c>
      <c r="G8" s="11">
        <f t="shared" si="2"/>
        <v>94230738.4223313</v>
      </c>
      <c r="H8" s="11">
        <f t="shared" si="2"/>
        <v>95789412.97587314</v>
      </c>
      <c r="I8" s="11">
        <f t="shared" si="2"/>
        <v>97376001.61833677</v>
      </c>
      <c r="J8" s="11">
        <f t="shared" si="2"/>
        <v>98991030.03747913</v>
      </c>
      <c r="K8" s="11">
        <f t="shared" si="2"/>
        <v>100635034.10887212</v>
      </c>
      <c r="L8" s="70">
        <f t="shared" si="2"/>
        <v>102308560.09639938</v>
      </c>
      <c r="M8" s="70">
        <f t="shared" si="2"/>
        <v>104012164.8567307</v>
      </c>
      <c r="N8" s="70">
        <f t="shared" si="2"/>
        <v>105746416.04785265</v>
      </c>
      <c r="O8" s="70">
        <f t="shared" si="2"/>
        <v>107511892.34173693</v>
      </c>
      <c r="P8" s="70">
        <f t="shared" si="2"/>
        <v>109309183.64122815</v>
      </c>
      <c r="Q8" s="70">
        <f t="shared" si="2"/>
        <v>111138891.30123578</v>
      </c>
      <c r="R8" s="70">
        <f t="shared" si="2"/>
        <v>113001628.3543154</v>
      </c>
      <c r="S8" s="11">
        <f t="shared" si="2"/>
        <v>114898019.74072716</v>
      </c>
      <c r="T8" s="43" t="s">
        <v>9</v>
      </c>
      <c r="U8" s="44" t="s">
        <v>98</v>
      </c>
      <c r="V8" s="113">
        <f>D8/C8</f>
        <v>1.0228130961738582</v>
      </c>
      <c r="W8" s="113">
        <f t="shared" si="1"/>
        <v>1.0229031287421357</v>
      </c>
      <c r="X8" s="113">
        <f t="shared" si="1"/>
        <v>1.0164963251313655</v>
      </c>
      <c r="Y8" s="113">
        <f t="shared" si="1"/>
        <v>1.0165187167628338</v>
      </c>
      <c r="Z8" s="113">
        <f t="shared" si="1"/>
        <v>1.016541041486442</v>
      </c>
      <c r="AA8" s="113">
        <f t="shared" si="1"/>
        <v>1.0165632985230137</v>
      </c>
      <c r="AB8" s="113">
        <f t="shared" si="1"/>
        <v>1.0165854871046405</v>
      </c>
      <c r="AC8" s="113">
        <f t="shared" si="1"/>
        <v>1.0166076064747538</v>
      </c>
      <c r="AD8" s="113">
        <f t="shared" si="1"/>
        <v>1.0166296558881946</v>
      </c>
      <c r="AE8" s="113">
        <f t="shared" si="1"/>
        <v>1.016651634611279</v>
      </c>
      <c r="AF8" s="113">
        <f t="shared" si="1"/>
        <v>1.0166735419218584</v>
      </c>
      <c r="AG8" s="113">
        <f t="shared" si="1"/>
        <v>1.0166953771093798</v>
      </c>
      <c r="AH8" s="113">
        <f t="shared" si="1"/>
        <v>1.016717139474937</v>
      </c>
      <c r="AI8" s="113">
        <f t="shared" si="1"/>
        <v>1.0167388283313235</v>
      </c>
      <c r="AJ8" s="113">
        <f t="shared" si="1"/>
        <v>1.0167604430030779</v>
      </c>
      <c r="AK8" s="113">
        <f t="shared" si="1"/>
        <v>1.0167819828265274</v>
      </c>
    </row>
    <row r="9" spans="1:37" ht="15.75" customHeight="1">
      <c r="A9" s="43" t="s">
        <v>11</v>
      </c>
      <c r="B9" s="44" t="s">
        <v>124</v>
      </c>
      <c r="C9" s="10">
        <f>(54559057-1440+1240916+15766+28182)</f>
        <v>55842481</v>
      </c>
      <c r="D9" s="10">
        <f>C9*1.03</f>
        <v>57517755.43</v>
      </c>
      <c r="E9" s="10">
        <f>D9*1.03</f>
        <v>59243288.0929</v>
      </c>
      <c r="F9" s="10">
        <f>E9*1.02</f>
        <v>60428153.854758</v>
      </c>
      <c r="G9" s="10">
        <f>F9*1.02</f>
        <v>61636716.93185316</v>
      </c>
      <c r="H9" s="10">
        <f aca="true" t="shared" si="3" ref="H9:S9">G9*1.02</f>
        <v>62869451.27049022</v>
      </c>
      <c r="I9" s="10">
        <f t="shared" si="3"/>
        <v>64126840.295900024</v>
      </c>
      <c r="J9" s="10">
        <f t="shared" si="3"/>
        <v>65409377.101818025</v>
      </c>
      <c r="K9" s="10">
        <f t="shared" si="3"/>
        <v>66717564.64385439</v>
      </c>
      <c r="L9" s="10">
        <f t="shared" si="3"/>
        <v>68051915.93673147</v>
      </c>
      <c r="M9" s="10">
        <f t="shared" si="3"/>
        <v>69412954.2554661</v>
      </c>
      <c r="N9" s="10">
        <f t="shared" si="3"/>
        <v>70801213.34057543</v>
      </c>
      <c r="O9" s="10">
        <f t="shared" si="3"/>
        <v>72217237.60738693</v>
      </c>
      <c r="P9" s="10">
        <f t="shared" si="3"/>
        <v>73661582.35953467</v>
      </c>
      <c r="Q9" s="10">
        <f t="shared" si="3"/>
        <v>75134814.00672536</v>
      </c>
      <c r="R9" s="10">
        <f t="shared" si="3"/>
        <v>76637510.28685987</v>
      </c>
      <c r="S9" s="10">
        <f t="shared" si="3"/>
        <v>78170260.49259707</v>
      </c>
      <c r="T9" s="43" t="s">
        <v>11</v>
      </c>
      <c r="U9" s="44" t="s">
        <v>124</v>
      </c>
      <c r="V9" s="113">
        <f aca="true" t="shared" si="4" ref="V9:V14">D9/C9</f>
        <v>1.03</v>
      </c>
      <c r="W9" s="113">
        <f t="shared" si="1"/>
        <v>1.03</v>
      </c>
      <c r="X9" s="113">
        <f t="shared" si="1"/>
        <v>1.02</v>
      </c>
      <c r="Y9" s="113">
        <f t="shared" si="1"/>
        <v>1.02</v>
      </c>
      <c r="Z9" s="113">
        <f t="shared" si="1"/>
        <v>1.02</v>
      </c>
      <c r="AA9" s="113">
        <f t="shared" si="1"/>
        <v>1.02</v>
      </c>
      <c r="AB9" s="113">
        <f t="shared" si="1"/>
        <v>1.02</v>
      </c>
      <c r="AC9" s="113">
        <f t="shared" si="1"/>
        <v>1.02</v>
      </c>
      <c r="AD9" s="113">
        <f t="shared" si="1"/>
        <v>1.02</v>
      </c>
      <c r="AE9" s="113">
        <f t="shared" si="1"/>
        <v>1.02</v>
      </c>
      <c r="AF9" s="113">
        <f t="shared" si="1"/>
        <v>1.02</v>
      </c>
      <c r="AG9" s="113">
        <f t="shared" si="1"/>
        <v>1.02</v>
      </c>
      <c r="AH9" s="113">
        <f t="shared" si="1"/>
        <v>1.02</v>
      </c>
      <c r="AI9" s="113">
        <f t="shared" si="1"/>
        <v>1.02</v>
      </c>
      <c r="AJ9" s="113">
        <f t="shared" si="1"/>
        <v>1.02</v>
      </c>
      <c r="AK9" s="113">
        <f t="shared" si="1"/>
        <v>1.02</v>
      </c>
    </row>
    <row r="10" spans="1:37" ht="13.5" customHeight="1">
      <c r="A10" s="43" t="s">
        <v>12</v>
      </c>
      <c r="B10" s="44" t="s">
        <v>125</v>
      </c>
      <c r="C10" s="10">
        <f>(19853126-251804)</f>
        <v>19601322</v>
      </c>
      <c r="D10" s="10">
        <f aca="true" t="shared" si="5" ref="D10:L10">C10*1.01</f>
        <v>19797335.22</v>
      </c>
      <c r="E10" s="10">
        <f t="shared" si="5"/>
        <v>19995308.5722</v>
      </c>
      <c r="F10" s="10">
        <f t="shared" si="5"/>
        <v>20195261.657922</v>
      </c>
      <c r="G10" s="10">
        <f t="shared" si="5"/>
        <v>20397214.27450122</v>
      </c>
      <c r="H10" s="10">
        <f t="shared" si="5"/>
        <v>20601186.41724623</v>
      </c>
      <c r="I10" s="10">
        <f t="shared" si="5"/>
        <v>20807198.281418692</v>
      </c>
      <c r="J10" s="10">
        <f t="shared" si="5"/>
        <v>21015270.264232878</v>
      </c>
      <c r="K10" s="10">
        <f t="shared" si="5"/>
        <v>21225422.966875207</v>
      </c>
      <c r="L10" s="19">
        <f t="shared" si="5"/>
        <v>21437677.196543958</v>
      </c>
      <c r="M10" s="19">
        <f aca="true" t="shared" si="6" ref="M10:P11">L10*1.01</f>
        <v>21652053.9685094</v>
      </c>
      <c r="N10" s="19">
        <f t="shared" si="6"/>
        <v>21868574.50819449</v>
      </c>
      <c r="O10" s="19">
        <f t="shared" si="6"/>
        <v>22087260.253276438</v>
      </c>
      <c r="P10" s="19">
        <f t="shared" si="6"/>
        <v>22308132.8558092</v>
      </c>
      <c r="Q10" s="19">
        <f aca="true" t="shared" si="7" ref="Q10:S11">P10*1.01</f>
        <v>22531214.18436729</v>
      </c>
      <c r="R10" s="19">
        <f t="shared" si="7"/>
        <v>22756526.326210964</v>
      </c>
      <c r="S10" s="10">
        <f t="shared" si="7"/>
        <v>22984091.589473076</v>
      </c>
      <c r="T10" s="43" t="s">
        <v>12</v>
      </c>
      <c r="U10" s="44" t="s">
        <v>125</v>
      </c>
      <c r="V10" s="113">
        <f t="shared" si="4"/>
        <v>1.01</v>
      </c>
      <c r="W10" s="113">
        <f t="shared" si="1"/>
        <v>1.01</v>
      </c>
      <c r="X10" s="113">
        <f t="shared" si="1"/>
        <v>1.01</v>
      </c>
      <c r="Y10" s="113">
        <f t="shared" si="1"/>
        <v>1.01</v>
      </c>
      <c r="Z10" s="113">
        <f t="shared" si="1"/>
        <v>1.01</v>
      </c>
      <c r="AA10" s="113">
        <f t="shared" si="1"/>
        <v>1.01</v>
      </c>
      <c r="AB10" s="113">
        <f t="shared" si="1"/>
        <v>1.01</v>
      </c>
      <c r="AC10" s="113">
        <f t="shared" si="1"/>
        <v>1.01</v>
      </c>
      <c r="AD10" s="113">
        <f t="shared" si="1"/>
        <v>1.01</v>
      </c>
      <c r="AE10" s="113">
        <f t="shared" si="1"/>
        <v>1.01</v>
      </c>
      <c r="AF10" s="113">
        <f t="shared" si="1"/>
        <v>1.01</v>
      </c>
      <c r="AG10" s="113">
        <f t="shared" si="1"/>
        <v>1.01</v>
      </c>
      <c r="AH10" s="113">
        <f t="shared" si="1"/>
        <v>1.01</v>
      </c>
      <c r="AI10" s="113">
        <f t="shared" si="1"/>
        <v>1.01</v>
      </c>
      <c r="AJ10" s="113">
        <f t="shared" si="1"/>
        <v>1.01</v>
      </c>
      <c r="AK10" s="113">
        <f t="shared" si="1"/>
        <v>1.01</v>
      </c>
    </row>
    <row r="11" spans="1:37" ht="52.5" customHeight="1">
      <c r="A11" s="43" t="s">
        <v>13</v>
      </c>
      <c r="B11" s="44" t="s">
        <v>3</v>
      </c>
      <c r="C11" s="10">
        <f>(10484795+14513+46720-19640+176737+900+600+2145+1500+6000+16124+1359+5500+5999+13150+426190+300+4000+53178+27876+20000+22200+25442-231+24820+16000+6800+132+100000+134727-20000+36042+85497+1517)</f>
        <v>11720892</v>
      </c>
      <c r="D11" s="12">
        <f aca="true" t="shared" si="8" ref="D11:M11">C11*1.01</f>
        <v>11838100.92</v>
      </c>
      <c r="E11" s="12">
        <f t="shared" si="8"/>
        <v>11956481.9292</v>
      </c>
      <c r="F11" s="12">
        <f t="shared" si="8"/>
        <v>12076046.748491999</v>
      </c>
      <c r="G11" s="12">
        <f t="shared" si="8"/>
        <v>12196807.215976918</v>
      </c>
      <c r="H11" s="12">
        <f t="shared" si="8"/>
        <v>12318775.288136687</v>
      </c>
      <c r="I11" s="12">
        <f t="shared" si="8"/>
        <v>12441963.041018054</v>
      </c>
      <c r="J11" s="12">
        <f t="shared" si="8"/>
        <v>12566382.671428235</v>
      </c>
      <c r="K11" s="12">
        <f t="shared" si="8"/>
        <v>12692046.498142518</v>
      </c>
      <c r="L11" s="71">
        <f t="shared" si="8"/>
        <v>12818966.963123944</v>
      </c>
      <c r="M11" s="71">
        <f t="shared" si="8"/>
        <v>12947156.632755183</v>
      </c>
      <c r="N11" s="71">
        <f t="shared" si="6"/>
        <v>13076628.199082734</v>
      </c>
      <c r="O11" s="71">
        <f t="shared" si="6"/>
        <v>13207394.481073562</v>
      </c>
      <c r="P11" s="71">
        <f t="shared" si="6"/>
        <v>13339468.425884297</v>
      </c>
      <c r="Q11" s="71">
        <f t="shared" si="7"/>
        <v>13472863.11014314</v>
      </c>
      <c r="R11" s="71">
        <f t="shared" si="7"/>
        <v>13607591.741244571</v>
      </c>
      <c r="S11" s="12">
        <f t="shared" si="7"/>
        <v>13743667.658657016</v>
      </c>
      <c r="T11" s="43" t="s">
        <v>13</v>
      </c>
      <c r="U11" s="44" t="s">
        <v>3</v>
      </c>
      <c r="V11" s="113">
        <f t="shared" si="4"/>
        <v>1.01</v>
      </c>
      <c r="W11" s="113">
        <f t="shared" si="1"/>
        <v>1.01</v>
      </c>
      <c r="X11" s="113">
        <f t="shared" si="1"/>
        <v>1.01</v>
      </c>
      <c r="Y11" s="113">
        <f t="shared" si="1"/>
        <v>1.01</v>
      </c>
      <c r="Z11" s="113">
        <f t="shared" si="1"/>
        <v>1.01</v>
      </c>
      <c r="AA11" s="113">
        <f t="shared" si="1"/>
        <v>1.01</v>
      </c>
      <c r="AB11" s="113">
        <f t="shared" si="1"/>
        <v>1.01</v>
      </c>
      <c r="AC11" s="113">
        <f t="shared" si="1"/>
        <v>1.01</v>
      </c>
      <c r="AD11" s="113">
        <f t="shared" si="1"/>
        <v>1.01</v>
      </c>
      <c r="AE11" s="113">
        <f t="shared" si="1"/>
        <v>1.01</v>
      </c>
      <c r="AF11" s="113">
        <f t="shared" si="1"/>
        <v>1.01</v>
      </c>
      <c r="AG11" s="113">
        <f t="shared" si="1"/>
        <v>1.01</v>
      </c>
      <c r="AH11" s="113">
        <f t="shared" si="1"/>
        <v>1.01</v>
      </c>
      <c r="AI11" s="113">
        <f t="shared" si="1"/>
        <v>1.01</v>
      </c>
      <c r="AJ11" s="113">
        <f t="shared" si="1"/>
        <v>1.01</v>
      </c>
      <c r="AK11" s="113">
        <f t="shared" si="1"/>
        <v>1.01</v>
      </c>
    </row>
    <row r="12" spans="1:37" ht="15.75" customHeight="1">
      <c r="A12" s="43" t="s">
        <v>10</v>
      </c>
      <c r="B12" s="44" t="s">
        <v>1</v>
      </c>
      <c r="C12" s="9">
        <f>C13+C14+C15</f>
        <v>6402433</v>
      </c>
      <c r="D12" s="9">
        <f aca="true" t="shared" si="9" ref="D12:S12">D13+D14+D15</f>
        <v>9968936</v>
      </c>
      <c r="E12" s="9">
        <f t="shared" si="9"/>
        <v>3469653</v>
      </c>
      <c r="F12" s="9">
        <f t="shared" si="9"/>
        <v>2684653</v>
      </c>
      <c r="G12" s="9">
        <f t="shared" si="9"/>
        <v>1584653</v>
      </c>
      <c r="H12" s="9">
        <f t="shared" si="9"/>
        <v>2484653</v>
      </c>
      <c r="I12" s="9">
        <f t="shared" si="9"/>
        <v>3984653</v>
      </c>
      <c r="J12" s="9">
        <f t="shared" si="9"/>
        <v>3934653</v>
      </c>
      <c r="K12" s="9">
        <f t="shared" si="9"/>
        <v>3934653</v>
      </c>
      <c r="L12" s="72">
        <f t="shared" si="9"/>
        <v>1934653</v>
      </c>
      <c r="M12" s="72">
        <f t="shared" si="9"/>
        <v>1884653</v>
      </c>
      <c r="N12" s="72">
        <f t="shared" si="9"/>
        <v>1604653</v>
      </c>
      <c r="O12" s="72">
        <f t="shared" si="9"/>
        <v>1584653</v>
      </c>
      <c r="P12" s="72">
        <f t="shared" si="9"/>
        <v>1869653</v>
      </c>
      <c r="Q12" s="72">
        <f t="shared" si="9"/>
        <v>2334653</v>
      </c>
      <c r="R12" s="72">
        <f t="shared" si="9"/>
        <v>2634653</v>
      </c>
      <c r="S12" s="9">
        <f t="shared" si="9"/>
        <v>1284653</v>
      </c>
      <c r="T12" s="43" t="s">
        <v>10</v>
      </c>
      <c r="U12" s="44" t="s">
        <v>1</v>
      </c>
      <c r="V12" s="113">
        <f t="shared" si="4"/>
        <v>1.5570543260663563</v>
      </c>
      <c r="W12" s="113">
        <f t="shared" si="1"/>
        <v>0.34804647155925167</v>
      </c>
      <c r="X12" s="113">
        <f t="shared" si="1"/>
        <v>0.7737525913974683</v>
      </c>
      <c r="Y12" s="113">
        <f t="shared" si="1"/>
        <v>0.5902636206615901</v>
      </c>
      <c r="Z12" s="113">
        <f t="shared" si="1"/>
        <v>1.567947683183637</v>
      </c>
      <c r="AA12" s="113">
        <f t="shared" si="1"/>
        <v>1.6037060305805277</v>
      </c>
      <c r="AB12" s="113">
        <f t="shared" si="1"/>
        <v>0.9874518559081557</v>
      </c>
      <c r="AC12" s="113">
        <f t="shared" si="1"/>
        <v>1</v>
      </c>
      <c r="AD12" s="113">
        <f t="shared" si="1"/>
        <v>0.4916959640405393</v>
      </c>
      <c r="AE12" s="113">
        <f t="shared" si="1"/>
        <v>0.974155572084503</v>
      </c>
      <c r="AF12" s="113">
        <f t="shared" si="1"/>
        <v>0.8514315367338179</v>
      </c>
      <c r="AG12" s="113">
        <f t="shared" si="1"/>
        <v>0.9875362461541529</v>
      </c>
      <c r="AH12" s="113">
        <f t="shared" si="1"/>
        <v>1.1798500996748185</v>
      </c>
      <c r="AI12" s="113">
        <f t="shared" si="1"/>
        <v>1.2487092524655645</v>
      </c>
      <c r="AJ12" s="113">
        <f t="shared" si="1"/>
        <v>1.128498753347928</v>
      </c>
      <c r="AK12" s="113">
        <f t="shared" si="1"/>
        <v>0.4875985566220675</v>
      </c>
    </row>
    <row r="13" spans="1:37" ht="15" customHeight="1">
      <c r="A13" s="43" t="s">
        <v>11</v>
      </c>
      <c r="B13" s="44" t="s">
        <v>99</v>
      </c>
      <c r="C13" s="10">
        <f>(4964219-1964634+2800)</f>
        <v>3002385</v>
      </c>
      <c r="D13" s="10">
        <f>(2670000+141500)</f>
        <v>2811500</v>
      </c>
      <c r="E13" s="10">
        <v>2790000</v>
      </c>
      <c r="F13" s="10">
        <v>2650000</v>
      </c>
      <c r="G13" s="10">
        <v>1550000</v>
      </c>
      <c r="H13" s="10">
        <v>2450000</v>
      </c>
      <c r="I13" s="10">
        <v>3950000</v>
      </c>
      <c r="J13" s="10">
        <v>3900000</v>
      </c>
      <c r="K13" s="10">
        <v>3900000</v>
      </c>
      <c r="L13" s="19">
        <v>1900000</v>
      </c>
      <c r="M13" s="19">
        <v>1850000</v>
      </c>
      <c r="N13" s="19">
        <v>1570000</v>
      </c>
      <c r="O13" s="19">
        <v>1550000</v>
      </c>
      <c r="P13" s="19">
        <v>1835000</v>
      </c>
      <c r="Q13" s="19">
        <v>2300000</v>
      </c>
      <c r="R13" s="19">
        <v>2600000</v>
      </c>
      <c r="S13" s="10">
        <v>1250000</v>
      </c>
      <c r="T13" s="43" t="s">
        <v>11</v>
      </c>
      <c r="U13" s="44" t="s">
        <v>99</v>
      </c>
      <c r="V13" s="113">
        <f t="shared" si="4"/>
        <v>0.9364222110089145</v>
      </c>
      <c r="W13" s="113">
        <f t="shared" si="1"/>
        <v>0.9923528365641117</v>
      </c>
      <c r="X13" s="113">
        <f t="shared" si="1"/>
        <v>0.9498207885304659</v>
      </c>
      <c r="Y13" s="113">
        <f t="shared" si="1"/>
        <v>0.5849056603773585</v>
      </c>
      <c r="Z13" s="113">
        <f t="shared" si="1"/>
        <v>1.5806451612903225</v>
      </c>
      <c r="AA13" s="113">
        <f t="shared" si="1"/>
        <v>1.6122448979591837</v>
      </c>
      <c r="AB13" s="113">
        <f t="shared" si="1"/>
        <v>0.9873417721518988</v>
      </c>
      <c r="AC13" s="113">
        <f t="shared" si="1"/>
        <v>1</v>
      </c>
      <c r="AD13" s="113">
        <f t="shared" si="1"/>
        <v>0.48717948717948717</v>
      </c>
      <c r="AE13" s="113">
        <f t="shared" si="1"/>
        <v>0.9736842105263158</v>
      </c>
      <c r="AF13" s="113">
        <f t="shared" si="1"/>
        <v>0.8486486486486486</v>
      </c>
      <c r="AG13" s="113">
        <f t="shared" si="1"/>
        <v>0.9872611464968153</v>
      </c>
      <c r="AH13" s="113">
        <f t="shared" si="1"/>
        <v>1.1838709677419355</v>
      </c>
      <c r="AI13" s="113">
        <f t="shared" si="1"/>
        <v>1.2534059945504088</v>
      </c>
      <c r="AJ13" s="113">
        <f t="shared" si="1"/>
        <v>1.1304347826086956</v>
      </c>
      <c r="AK13" s="113">
        <f t="shared" si="1"/>
        <v>0.4807692307692308</v>
      </c>
    </row>
    <row r="14" spans="1:37" ht="39.75" customHeight="1">
      <c r="A14" s="43" t="s">
        <v>12</v>
      </c>
      <c r="B14" s="34" t="s">
        <v>96</v>
      </c>
      <c r="C14" s="10">
        <v>34653</v>
      </c>
      <c r="D14" s="10">
        <f>C14*1</f>
        <v>34653</v>
      </c>
      <c r="E14" s="10">
        <f aca="true" t="shared" si="10" ref="E14:L14">D14*1</f>
        <v>34653</v>
      </c>
      <c r="F14" s="10">
        <f t="shared" si="10"/>
        <v>34653</v>
      </c>
      <c r="G14" s="10">
        <f t="shared" si="10"/>
        <v>34653</v>
      </c>
      <c r="H14" s="10">
        <f t="shared" si="10"/>
        <v>34653</v>
      </c>
      <c r="I14" s="10">
        <f t="shared" si="10"/>
        <v>34653</v>
      </c>
      <c r="J14" s="10">
        <f t="shared" si="10"/>
        <v>34653</v>
      </c>
      <c r="K14" s="10">
        <f t="shared" si="10"/>
        <v>34653</v>
      </c>
      <c r="L14" s="19">
        <f t="shared" si="10"/>
        <v>34653</v>
      </c>
      <c r="M14" s="19">
        <f aca="true" t="shared" si="11" ref="M14:S14">L14*1</f>
        <v>34653</v>
      </c>
      <c r="N14" s="19">
        <f t="shared" si="11"/>
        <v>34653</v>
      </c>
      <c r="O14" s="19">
        <f t="shared" si="11"/>
        <v>34653</v>
      </c>
      <c r="P14" s="19">
        <f t="shared" si="11"/>
        <v>34653</v>
      </c>
      <c r="Q14" s="19">
        <f t="shared" si="11"/>
        <v>34653</v>
      </c>
      <c r="R14" s="19">
        <f t="shared" si="11"/>
        <v>34653</v>
      </c>
      <c r="S14" s="10">
        <f t="shared" si="11"/>
        <v>34653</v>
      </c>
      <c r="T14" s="43" t="s">
        <v>12</v>
      </c>
      <c r="U14" s="34" t="s">
        <v>96</v>
      </c>
      <c r="V14" s="113">
        <f t="shared" si="4"/>
        <v>1</v>
      </c>
      <c r="W14" s="113">
        <f t="shared" si="1"/>
        <v>1</v>
      </c>
      <c r="X14" s="113">
        <f t="shared" si="1"/>
        <v>1</v>
      </c>
      <c r="Y14" s="113">
        <f t="shared" si="1"/>
        <v>1</v>
      </c>
      <c r="Z14" s="113">
        <f t="shared" si="1"/>
        <v>1</v>
      </c>
      <c r="AA14" s="113">
        <f t="shared" si="1"/>
        <v>1</v>
      </c>
      <c r="AB14" s="113">
        <f t="shared" si="1"/>
        <v>1</v>
      </c>
      <c r="AC14" s="113">
        <f t="shared" si="1"/>
        <v>1</v>
      </c>
      <c r="AD14" s="113">
        <f t="shared" si="1"/>
        <v>1</v>
      </c>
      <c r="AE14" s="113">
        <f t="shared" si="1"/>
        <v>1</v>
      </c>
      <c r="AF14" s="113">
        <f t="shared" si="1"/>
        <v>1</v>
      </c>
      <c r="AG14" s="113">
        <f t="shared" si="1"/>
        <v>1</v>
      </c>
      <c r="AH14" s="113">
        <f t="shared" si="1"/>
        <v>1</v>
      </c>
      <c r="AI14" s="113">
        <f t="shared" si="1"/>
        <v>1</v>
      </c>
      <c r="AJ14" s="113">
        <f t="shared" si="1"/>
        <v>1</v>
      </c>
      <c r="AK14" s="113">
        <f t="shared" si="1"/>
        <v>1</v>
      </c>
    </row>
    <row r="15" spans="1:37" ht="26.25" customHeight="1">
      <c r="A15" s="43" t="s">
        <v>13</v>
      </c>
      <c r="B15" s="44" t="s">
        <v>115</v>
      </c>
      <c r="C15" s="10">
        <f>(8130488+985-1400-679262-2225780+35000+115450-379600-35-115450-1515000-1)</f>
        <v>3365395</v>
      </c>
      <c r="D15" s="10">
        <f>(6604996+300000+217787)</f>
        <v>7122783</v>
      </c>
      <c r="E15" s="10">
        <v>645000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0">
        <v>0</v>
      </c>
      <c r="T15" s="43" t="s">
        <v>13</v>
      </c>
      <c r="U15" s="44" t="s">
        <v>115</v>
      </c>
      <c r="V15" s="101" t="s">
        <v>139</v>
      </c>
      <c r="W15" s="101"/>
      <c r="X15" s="101"/>
      <c r="Y15" s="101"/>
      <c r="Z15" s="101"/>
      <c r="AA15" s="101"/>
      <c r="AB15" s="101"/>
      <c r="AC15" s="101"/>
      <c r="AD15" s="101"/>
      <c r="AE15" s="104"/>
      <c r="AF15" s="104"/>
      <c r="AG15" s="104"/>
      <c r="AH15" s="104"/>
      <c r="AI15" s="104"/>
      <c r="AJ15" s="104"/>
      <c r="AK15" s="104"/>
    </row>
    <row r="16" spans="1:37" ht="28.5" customHeight="1">
      <c r="A16" s="41" t="s">
        <v>101</v>
      </c>
      <c r="B16" s="42" t="s">
        <v>6</v>
      </c>
      <c r="C16" s="24">
        <f>C18+C47</f>
        <v>96786030</v>
      </c>
      <c r="D16" s="24">
        <f aca="true" t="shared" si="12" ref="D16:S16">D20+D47+D36</f>
        <v>103380809.07</v>
      </c>
      <c r="E16" s="24">
        <f t="shared" si="12"/>
        <v>94701847.86785999</v>
      </c>
      <c r="F16" s="24">
        <f t="shared" si="12"/>
        <v>93573866.34653859</v>
      </c>
      <c r="G16" s="24">
        <f t="shared" si="12"/>
        <v>93689605.01000397</v>
      </c>
      <c r="H16" s="24">
        <f t="shared" si="12"/>
        <v>95644151.06010401</v>
      </c>
      <c r="I16" s="24">
        <f t="shared" si="12"/>
        <v>98742592.57070506</v>
      </c>
      <c r="J16" s="24">
        <f t="shared" si="12"/>
        <v>100650018.49641211</v>
      </c>
      <c r="K16" s="24">
        <f t="shared" si="12"/>
        <v>101566518.68137623</v>
      </c>
      <c r="L16" s="69">
        <f t="shared" si="12"/>
        <v>102492183.86818999</v>
      </c>
      <c r="M16" s="69">
        <f t="shared" si="12"/>
        <v>103427105.7068719</v>
      </c>
      <c r="N16" s="69">
        <f t="shared" si="12"/>
        <v>105371376.76394062</v>
      </c>
      <c r="O16" s="69">
        <f t="shared" si="12"/>
        <v>106325090.53158003</v>
      </c>
      <c r="P16" s="69">
        <f t="shared" si="12"/>
        <v>109288341.43689583</v>
      </c>
      <c r="Q16" s="69">
        <f t="shared" si="12"/>
        <v>112747666.55844925</v>
      </c>
      <c r="R16" s="69">
        <f t="shared" si="12"/>
        <v>115228881.55682598</v>
      </c>
      <c r="S16" s="24">
        <f t="shared" si="12"/>
        <v>115732314.78017835</v>
      </c>
      <c r="T16" s="41" t="s">
        <v>101</v>
      </c>
      <c r="U16" s="42" t="s">
        <v>6</v>
      </c>
      <c r="V16" s="114">
        <f>D16/C16</f>
        <v>1.068137716465899</v>
      </c>
      <c r="W16" s="114">
        <f aca="true" t="shared" si="13" ref="W16:AK16">E16/D16</f>
        <v>0.91604862372219</v>
      </c>
      <c r="X16" s="114">
        <f t="shared" si="13"/>
        <v>0.988089128705331</v>
      </c>
      <c r="Y16" s="114">
        <f t="shared" si="13"/>
        <v>1.0012368695233427</v>
      </c>
      <c r="Z16" s="114">
        <f t="shared" si="13"/>
        <v>1.0208619307327782</v>
      </c>
      <c r="AA16" s="114">
        <f t="shared" si="13"/>
        <v>1.032395514793727</v>
      </c>
      <c r="AB16" s="114">
        <f t="shared" si="13"/>
        <v>1.0193171545940647</v>
      </c>
      <c r="AC16" s="114">
        <f t="shared" si="13"/>
        <v>1.0091058123848908</v>
      </c>
      <c r="AD16" s="114">
        <f t="shared" si="13"/>
        <v>1.009113881216286</v>
      </c>
      <c r="AE16" s="114">
        <f t="shared" si="13"/>
        <v>1.0091218842588452</v>
      </c>
      <c r="AF16" s="114">
        <f t="shared" si="13"/>
        <v>1.018798467227528</v>
      </c>
      <c r="AG16" s="114">
        <f t="shared" si="13"/>
        <v>1.0090509756722263</v>
      </c>
      <c r="AH16" s="114">
        <f t="shared" si="13"/>
        <v>1.0278697237923882</v>
      </c>
      <c r="AI16" s="114">
        <f t="shared" si="13"/>
        <v>1.0316531944402403</v>
      </c>
      <c r="AJ16" s="114">
        <f t="shared" si="13"/>
        <v>1.0220067968953526</v>
      </c>
      <c r="AK16" s="114">
        <f t="shared" si="13"/>
        <v>1.0043689847245814</v>
      </c>
    </row>
    <row r="17" spans="1:37" s="39" customFormat="1" ht="19.5" customHeight="1">
      <c r="A17" s="45"/>
      <c r="B17" s="46" t="s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73"/>
      <c r="M17" s="85"/>
      <c r="N17" s="85"/>
      <c r="O17" s="85"/>
      <c r="P17" s="86"/>
      <c r="Q17" s="85"/>
      <c r="R17" s="85"/>
      <c r="S17" s="85"/>
      <c r="T17" s="45"/>
      <c r="U17" s="46" t="s">
        <v>0</v>
      </c>
      <c r="V17" s="101"/>
      <c r="W17" s="101"/>
      <c r="X17" s="101"/>
      <c r="Y17" s="101"/>
      <c r="Z17" s="101"/>
      <c r="AA17" s="101"/>
      <c r="AB17" s="101"/>
      <c r="AC17" s="101"/>
      <c r="AD17" s="101"/>
      <c r="AE17" s="104"/>
      <c r="AF17" s="104"/>
      <c r="AG17" s="104"/>
      <c r="AH17" s="104"/>
      <c r="AI17" s="104"/>
      <c r="AJ17" s="104"/>
      <c r="AK17" s="104"/>
    </row>
    <row r="18" spans="1:37" ht="12.75" customHeight="1">
      <c r="A18" s="47" t="s">
        <v>127</v>
      </c>
      <c r="B18" s="44" t="s">
        <v>100</v>
      </c>
      <c r="C18" s="9">
        <f>(86591006+56119-251804-19640+277000+46720+176737+900-25000-11400+600+2145-24500+1500+6000-10000+16124+1359+5500+7500+13150+5999+426190+300+4000+53178+27876+15765-2099+20000+22200+25442+209880+28182+184460-231+24820+16000+6800-7500+132+100000+134727-20000+36042+85497+1517)</f>
        <v>88259193</v>
      </c>
      <c r="D18" s="9">
        <f>C18*0.99</f>
        <v>87376601.07</v>
      </c>
      <c r="E18" s="9">
        <f>D18*0.998</f>
        <v>87201847.86785999</v>
      </c>
      <c r="F18" s="9">
        <f>E18*1.01</f>
        <v>88073866.34653859</v>
      </c>
      <c r="G18" s="9">
        <f aca="true" t="shared" si="14" ref="G18:N18">F18*1.01</f>
        <v>88954605.01000397</v>
      </c>
      <c r="H18" s="9">
        <f t="shared" si="14"/>
        <v>89844151.06010401</v>
      </c>
      <c r="I18" s="9">
        <f>H18*1.01</f>
        <v>90742592.57070506</v>
      </c>
      <c r="J18" s="9">
        <f t="shared" si="14"/>
        <v>91650018.49641211</v>
      </c>
      <c r="K18" s="9">
        <f t="shared" si="14"/>
        <v>92566518.68137623</v>
      </c>
      <c r="L18" s="9">
        <f t="shared" si="14"/>
        <v>93492183.86818999</v>
      </c>
      <c r="M18" s="9">
        <f t="shared" si="14"/>
        <v>94427105.7068719</v>
      </c>
      <c r="N18" s="9">
        <f t="shared" si="14"/>
        <v>95371376.76394062</v>
      </c>
      <c r="O18" s="9">
        <f>N18*1.01</f>
        <v>96325090.53158003</v>
      </c>
      <c r="P18" s="9">
        <f>O18*1.01</f>
        <v>97288341.43689583</v>
      </c>
      <c r="Q18" s="9">
        <f>P18*1.015</f>
        <v>98747666.55844925</v>
      </c>
      <c r="R18" s="9">
        <f>Q18*1.015</f>
        <v>100228881.55682598</v>
      </c>
      <c r="S18" s="9">
        <f>R18*1.015</f>
        <v>101732314.78017835</v>
      </c>
      <c r="T18" s="47" t="s">
        <v>127</v>
      </c>
      <c r="U18" s="44" t="s">
        <v>100</v>
      </c>
      <c r="V18" s="113">
        <f>D18/C18</f>
        <v>0.9899999999999999</v>
      </c>
      <c r="W18" s="113">
        <f aca="true" t="shared" si="15" ref="W18:AK19">E18/D18</f>
        <v>0.998</v>
      </c>
      <c r="X18" s="113">
        <f t="shared" si="15"/>
        <v>1.01</v>
      </c>
      <c r="Y18" s="113">
        <f t="shared" si="15"/>
        <v>1.01</v>
      </c>
      <c r="Z18" s="113">
        <f t="shared" si="15"/>
        <v>1.01</v>
      </c>
      <c r="AA18" s="113">
        <f t="shared" si="15"/>
        <v>1.01</v>
      </c>
      <c r="AB18" s="113">
        <f t="shared" si="15"/>
        <v>1.01</v>
      </c>
      <c r="AC18" s="113">
        <f t="shared" si="15"/>
        <v>1.01</v>
      </c>
      <c r="AD18" s="113">
        <f t="shared" si="15"/>
        <v>1.01</v>
      </c>
      <c r="AE18" s="113">
        <f t="shared" si="15"/>
        <v>1.01</v>
      </c>
      <c r="AF18" s="113">
        <f t="shared" si="15"/>
        <v>1.01</v>
      </c>
      <c r="AG18" s="113">
        <f t="shared" si="15"/>
        <v>1.01</v>
      </c>
      <c r="AH18" s="113">
        <f t="shared" si="15"/>
        <v>1.01</v>
      </c>
      <c r="AI18" s="113">
        <f t="shared" si="15"/>
        <v>1.015</v>
      </c>
      <c r="AJ18" s="113">
        <f t="shared" si="15"/>
        <v>1.015</v>
      </c>
      <c r="AK18" s="113">
        <f t="shared" si="15"/>
        <v>1.015</v>
      </c>
    </row>
    <row r="19" spans="1:37" s="23" customFormat="1" ht="14.25" customHeight="1">
      <c r="A19" s="47"/>
      <c r="B19" s="48" t="s">
        <v>128</v>
      </c>
      <c r="C19" s="21">
        <f aca="true" t="shared" si="16" ref="C19:H19">C8+C13-C18</f>
        <v>1907887</v>
      </c>
      <c r="D19" s="21">
        <f t="shared" si="16"/>
        <v>4588090.500000015</v>
      </c>
      <c r="E19" s="21">
        <f t="shared" si="16"/>
        <v>6783230.726440012</v>
      </c>
      <c r="F19" s="21">
        <f t="shared" si="16"/>
        <v>7275595.914633408</v>
      </c>
      <c r="G19" s="21">
        <f t="shared" si="16"/>
        <v>6826133.412327334</v>
      </c>
      <c r="H19" s="21">
        <f t="shared" si="16"/>
        <v>8395261.91576913</v>
      </c>
      <c r="I19" s="21">
        <f aca="true" t="shared" si="17" ref="I19:S19">I8+I13-I18</f>
        <v>10583409.04763171</v>
      </c>
      <c r="J19" s="21">
        <f t="shared" si="17"/>
        <v>11241011.54106702</v>
      </c>
      <c r="K19" s="21">
        <f t="shared" si="17"/>
        <v>11968515.427495882</v>
      </c>
      <c r="L19" s="74">
        <f t="shared" si="17"/>
        <v>10716376.228209391</v>
      </c>
      <c r="M19" s="74">
        <f t="shared" si="17"/>
        <v>11435059.149858803</v>
      </c>
      <c r="N19" s="74">
        <f t="shared" si="17"/>
        <v>11945039.283912033</v>
      </c>
      <c r="O19" s="74">
        <f t="shared" si="17"/>
        <v>12736801.810156897</v>
      </c>
      <c r="P19" s="74">
        <f t="shared" si="17"/>
        <v>13855842.204332322</v>
      </c>
      <c r="Q19" s="74">
        <f t="shared" si="17"/>
        <v>14691224.742786527</v>
      </c>
      <c r="R19" s="74">
        <f t="shared" si="17"/>
        <v>15372746.79748942</v>
      </c>
      <c r="S19" s="21">
        <f t="shared" si="17"/>
        <v>14415704.960548803</v>
      </c>
      <c r="T19" s="47"/>
      <c r="U19" s="48" t="s">
        <v>128</v>
      </c>
      <c r="V19" s="113">
        <f>D19/C19</f>
        <v>2.404802013955761</v>
      </c>
      <c r="W19" s="113">
        <f t="shared" si="15"/>
        <v>1.4784430966302846</v>
      </c>
      <c r="X19" s="113">
        <f t="shared" si="15"/>
        <v>1.072585646581979</v>
      </c>
      <c r="Y19" s="113">
        <f t="shared" si="15"/>
        <v>0.9382232730377357</v>
      </c>
      <c r="Z19" s="113">
        <f t="shared" si="15"/>
        <v>1.2298707641148798</v>
      </c>
      <c r="AA19" s="113">
        <f t="shared" si="15"/>
        <v>1.2606407225666783</v>
      </c>
      <c r="AB19" s="113">
        <f t="shared" si="15"/>
        <v>1.062135224149015</v>
      </c>
      <c r="AC19" s="113">
        <f t="shared" si="15"/>
        <v>1.0647187207104145</v>
      </c>
      <c r="AD19" s="113">
        <f t="shared" si="15"/>
        <v>0.8953805752374361</v>
      </c>
      <c r="AE19" s="113">
        <f t="shared" si="15"/>
        <v>1.0670639875219738</v>
      </c>
      <c r="AF19" s="113">
        <f t="shared" si="15"/>
        <v>1.0445979445641544</v>
      </c>
      <c r="AG19" s="113">
        <f t="shared" si="15"/>
        <v>1.0662837942535053</v>
      </c>
      <c r="AH19" s="113">
        <f t="shared" si="15"/>
        <v>1.0878588213002618</v>
      </c>
      <c r="AI19" s="113">
        <f t="shared" si="15"/>
        <v>1.0602909968325855</v>
      </c>
      <c r="AJ19" s="113">
        <f t="shared" si="15"/>
        <v>1.0463897371822266</v>
      </c>
      <c r="AK19" s="113">
        <f t="shared" si="15"/>
        <v>0.9377442528945501</v>
      </c>
    </row>
    <row r="20" spans="1:37" ht="32.25" customHeight="1">
      <c r="A20" s="41" t="s">
        <v>92</v>
      </c>
      <c r="B20" s="42" t="s">
        <v>83</v>
      </c>
      <c r="C20" s="25">
        <f aca="true" t="shared" si="18" ref="C20:S20">C18-C36</f>
        <v>86326993</v>
      </c>
      <c r="D20" s="14">
        <f t="shared" si="18"/>
        <v>85095371.07</v>
      </c>
      <c r="E20" s="14">
        <f t="shared" si="18"/>
        <v>85253984.86785999</v>
      </c>
      <c r="F20" s="14">
        <f t="shared" si="18"/>
        <v>86282870.34653859</v>
      </c>
      <c r="G20" s="14">
        <f t="shared" si="18"/>
        <v>87323651.01000397</v>
      </c>
      <c r="H20" s="14">
        <f t="shared" si="18"/>
        <v>88372657.06010401</v>
      </c>
      <c r="I20" s="14">
        <f t="shared" si="18"/>
        <v>89415629.57070506</v>
      </c>
      <c r="J20" s="14">
        <f t="shared" si="18"/>
        <v>90478055.49641211</v>
      </c>
      <c r="K20" s="14">
        <f t="shared" si="18"/>
        <v>91523368.68137623</v>
      </c>
      <c r="L20" s="33">
        <f t="shared" si="18"/>
        <v>92577864.86818999</v>
      </c>
      <c r="M20" s="33">
        <f t="shared" si="18"/>
        <v>93633261.7068719</v>
      </c>
      <c r="N20" s="33">
        <f t="shared" si="18"/>
        <v>94699403.76394062</v>
      </c>
      <c r="O20" s="33">
        <f t="shared" si="18"/>
        <v>95737657.53158003</v>
      </c>
      <c r="P20" s="33">
        <f t="shared" si="18"/>
        <v>96788441.43689583</v>
      </c>
      <c r="Q20" s="33">
        <f t="shared" si="18"/>
        <v>98311466.55844925</v>
      </c>
      <c r="R20" s="33">
        <f t="shared" si="18"/>
        <v>99792681.55682598</v>
      </c>
      <c r="S20" s="14">
        <f t="shared" si="18"/>
        <v>101296114.78017835</v>
      </c>
      <c r="T20" s="41" t="s">
        <v>92</v>
      </c>
      <c r="U20" s="42" t="s">
        <v>83</v>
      </c>
      <c r="V20" s="114">
        <f>D21/C21</f>
        <v>1.01</v>
      </c>
      <c r="W20" s="114">
        <f aca="true" t="shared" si="19" ref="W20:AK20">E21/D21</f>
        <v>1.01</v>
      </c>
      <c r="X20" s="114">
        <f t="shared" si="19"/>
        <v>1.02</v>
      </c>
      <c r="Y20" s="114">
        <f t="shared" si="19"/>
        <v>1.02</v>
      </c>
      <c r="Z20" s="114">
        <f t="shared" si="19"/>
        <v>1.02</v>
      </c>
      <c r="AA20" s="114">
        <f t="shared" si="19"/>
        <v>1.02</v>
      </c>
      <c r="AB20" s="114">
        <f t="shared" si="19"/>
        <v>1.02</v>
      </c>
      <c r="AC20" s="114">
        <f t="shared" si="19"/>
        <v>1.02</v>
      </c>
      <c r="AD20" s="114">
        <f t="shared" si="19"/>
        <v>1.02</v>
      </c>
      <c r="AE20" s="114">
        <f t="shared" si="19"/>
        <v>1.02</v>
      </c>
      <c r="AF20" s="114">
        <f t="shared" si="19"/>
        <v>1.02</v>
      </c>
      <c r="AG20" s="114">
        <f t="shared" si="19"/>
        <v>1.02</v>
      </c>
      <c r="AH20" s="114">
        <f t="shared" si="19"/>
        <v>1.02</v>
      </c>
      <c r="AI20" s="114">
        <f t="shared" si="19"/>
        <v>1.02</v>
      </c>
      <c r="AJ20" s="114">
        <f t="shared" si="19"/>
        <v>1.02</v>
      </c>
      <c r="AK20" s="114">
        <f t="shared" si="19"/>
        <v>1.02</v>
      </c>
    </row>
    <row r="21" spans="1:37" ht="25.5" customHeight="1">
      <c r="A21" s="43" t="s">
        <v>14</v>
      </c>
      <c r="B21" s="44" t="s">
        <v>17</v>
      </c>
      <c r="C21" s="10">
        <f>(39205764-251804-200000-256000)</f>
        <v>38497960</v>
      </c>
      <c r="D21" s="12">
        <f>C21*1.01</f>
        <v>38882939.6</v>
      </c>
      <c r="E21" s="12">
        <f>D21*1.01</f>
        <v>39271768.996</v>
      </c>
      <c r="F21" s="12">
        <f aca="true" t="shared" si="20" ref="F21:L21">E21*1.02</f>
        <v>40057204.37592</v>
      </c>
      <c r="G21" s="12">
        <f t="shared" si="20"/>
        <v>40858348.4634384</v>
      </c>
      <c r="H21" s="12">
        <f t="shared" si="20"/>
        <v>41675515.43270717</v>
      </c>
      <c r="I21" s="12">
        <f t="shared" si="20"/>
        <v>42509025.74136131</v>
      </c>
      <c r="J21" s="12">
        <f t="shared" si="20"/>
        <v>43359206.25618854</v>
      </c>
      <c r="K21" s="12">
        <f t="shared" si="20"/>
        <v>44226390.38131231</v>
      </c>
      <c r="L21" s="71">
        <f t="shared" si="20"/>
        <v>45110918.18893856</v>
      </c>
      <c r="M21" s="71">
        <f aca="true" t="shared" si="21" ref="M21:S22">L21*1.02</f>
        <v>46013136.55271733</v>
      </c>
      <c r="N21" s="71">
        <f t="shared" si="21"/>
        <v>46933399.28377168</v>
      </c>
      <c r="O21" s="71">
        <f t="shared" si="21"/>
        <v>47872067.26944711</v>
      </c>
      <c r="P21" s="71">
        <f t="shared" si="21"/>
        <v>48829508.61483605</v>
      </c>
      <c r="Q21" s="71">
        <f t="shared" si="21"/>
        <v>49806098.78713278</v>
      </c>
      <c r="R21" s="71">
        <f t="shared" si="21"/>
        <v>50802220.76287543</v>
      </c>
      <c r="S21" s="12">
        <f t="shared" si="21"/>
        <v>51818265.17813294</v>
      </c>
      <c r="T21" s="43" t="s">
        <v>14</v>
      </c>
      <c r="U21" s="44" t="s">
        <v>17</v>
      </c>
      <c r="V21" s="113">
        <f>D21/C21</f>
        <v>1.01</v>
      </c>
      <c r="W21" s="113">
        <f aca="true" t="shared" si="22" ref="W21:AK22">E21/D21</f>
        <v>1.01</v>
      </c>
      <c r="X21" s="113">
        <f t="shared" si="22"/>
        <v>1.02</v>
      </c>
      <c r="Y21" s="113">
        <f t="shared" si="22"/>
        <v>1.02</v>
      </c>
      <c r="Z21" s="113">
        <f t="shared" si="22"/>
        <v>1.02</v>
      </c>
      <c r="AA21" s="113">
        <f t="shared" si="22"/>
        <v>1.02</v>
      </c>
      <c r="AB21" s="113">
        <f t="shared" si="22"/>
        <v>1.02</v>
      </c>
      <c r="AC21" s="113">
        <f t="shared" si="22"/>
        <v>1.02</v>
      </c>
      <c r="AD21" s="113">
        <f t="shared" si="22"/>
        <v>1.02</v>
      </c>
      <c r="AE21" s="113">
        <f t="shared" si="22"/>
        <v>1.02</v>
      </c>
      <c r="AF21" s="113">
        <f t="shared" si="22"/>
        <v>1.02</v>
      </c>
      <c r="AG21" s="113">
        <f t="shared" si="22"/>
        <v>1.02</v>
      </c>
      <c r="AH21" s="113">
        <f t="shared" si="22"/>
        <v>1.02</v>
      </c>
      <c r="AI21" s="113">
        <f t="shared" si="22"/>
        <v>1.02</v>
      </c>
      <c r="AJ21" s="113">
        <f t="shared" si="22"/>
        <v>1.02</v>
      </c>
      <c r="AK21" s="113">
        <f t="shared" si="22"/>
        <v>1.02</v>
      </c>
    </row>
    <row r="22" spans="1:37" ht="28.5" customHeight="1">
      <c r="A22" s="43" t="s">
        <v>15</v>
      </c>
      <c r="B22" s="44" t="s">
        <v>16</v>
      </c>
      <c r="C22" s="10">
        <f>1781013</f>
        <v>1781013</v>
      </c>
      <c r="D22" s="12">
        <f>C22*1.02</f>
        <v>1816633.26</v>
      </c>
      <c r="E22" s="12">
        <f aca="true" t="shared" si="23" ref="E22:L22">D22*1.02</f>
        <v>1852965.9252</v>
      </c>
      <c r="F22" s="12">
        <f t="shared" si="23"/>
        <v>1890025.243704</v>
      </c>
      <c r="G22" s="12">
        <f t="shared" si="23"/>
        <v>1927825.74857808</v>
      </c>
      <c r="H22" s="12">
        <f t="shared" si="23"/>
        <v>1966382.2635496417</v>
      </c>
      <c r="I22" s="12">
        <f t="shared" si="23"/>
        <v>2005709.9088206345</v>
      </c>
      <c r="J22" s="12">
        <f t="shared" si="23"/>
        <v>2045824.106997047</v>
      </c>
      <c r="K22" s="12">
        <f t="shared" si="23"/>
        <v>2086740.5891369882</v>
      </c>
      <c r="L22" s="71">
        <f t="shared" si="23"/>
        <v>2128475.400919728</v>
      </c>
      <c r="M22" s="71">
        <f t="shared" si="21"/>
        <v>2171044.9089381224</v>
      </c>
      <c r="N22" s="71">
        <f t="shared" si="21"/>
        <v>2214465.8071168847</v>
      </c>
      <c r="O22" s="71">
        <f t="shared" si="21"/>
        <v>2258755.1232592226</v>
      </c>
      <c r="P22" s="71">
        <f t="shared" si="21"/>
        <v>2303930.225724407</v>
      </c>
      <c r="Q22" s="71">
        <f t="shared" si="21"/>
        <v>2350008.830238895</v>
      </c>
      <c r="R22" s="71">
        <f t="shared" si="21"/>
        <v>2397009.006843673</v>
      </c>
      <c r="S22" s="12">
        <f t="shared" si="21"/>
        <v>2444949.1869805465</v>
      </c>
      <c r="T22" s="43" t="s">
        <v>15</v>
      </c>
      <c r="U22" s="44" t="s">
        <v>16</v>
      </c>
      <c r="V22" s="113">
        <f>D22/C22</f>
        <v>1.02</v>
      </c>
      <c r="W22" s="113">
        <f t="shared" si="22"/>
        <v>1.02</v>
      </c>
      <c r="X22" s="113">
        <f t="shared" si="22"/>
        <v>1.02</v>
      </c>
      <c r="Y22" s="113">
        <f t="shared" si="22"/>
        <v>1.02</v>
      </c>
      <c r="Z22" s="113">
        <f t="shared" si="22"/>
        <v>1.02</v>
      </c>
      <c r="AA22" s="113">
        <f t="shared" si="22"/>
        <v>1.02</v>
      </c>
      <c r="AB22" s="113">
        <f t="shared" si="22"/>
        <v>1.02</v>
      </c>
      <c r="AC22" s="113">
        <f t="shared" si="22"/>
        <v>1.02</v>
      </c>
      <c r="AD22" s="113">
        <f t="shared" si="22"/>
        <v>1.02</v>
      </c>
      <c r="AE22" s="113">
        <f t="shared" si="22"/>
        <v>1.02</v>
      </c>
      <c r="AF22" s="113">
        <f t="shared" si="22"/>
        <v>1.02</v>
      </c>
      <c r="AG22" s="113">
        <f t="shared" si="22"/>
        <v>1.02</v>
      </c>
      <c r="AH22" s="113">
        <f t="shared" si="22"/>
        <v>1.02</v>
      </c>
      <c r="AI22" s="113">
        <f t="shared" si="22"/>
        <v>1.02</v>
      </c>
      <c r="AJ22" s="113">
        <f t="shared" si="22"/>
        <v>1.02</v>
      </c>
      <c r="AK22" s="113">
        <f t="shared" si="22"/>
        <v>1.02</v>
      </c>
    </row>
    <row r="23" spans="1:37" ht="52.5" customHeight="1">
      <c r="A23" s="43" t="s">
        <v>18</v>
      </c>
      <c r="B23" s="44" t="s">
        <v>80</v>
      </c>
      <c r="C23" s="10">
        <v>7506</v>
      </c>
      <c r="D23" s="10">
        <v>3224594</v>
      </c>
      <c r="E23" s="10">
        <v>436200</v>
      </c>
      <c r="F23" s="10">
        <v>436200</v>
      </c>
      <c r="G23" s="10">
        <v>436200</v>
      </c>
      <c r="H23" s="10">
        <v>436200</v>
      </c>
      <c r="I23" s="10">
        <v>436200</v>
      </c>
      <c r="J23" s="10">
        <v>436200</v>
      </c>
      <c r="K23" s="10">
        <v>436200</v>
      </c>
      <c r="L23" s="10">
        <v>436200</v>
      </c>
      <c r="M23" s="10">
        <v>436200</v>
      </c>
      <c r="N23" s="10">
        <v>436200</v>
      </c>
      <c r="O23" s="10">
        <v>436200</v>
      </c>
      <c r="P23" s="10">
        <v>436200</v>
      </c>
      <c r="Q23" s="10">
        <v>436200</v>
      </c>
      <c r="R23" s="10">
        <v>436200</v>
      </c>
      <c r="S23" s="10">
        <v>436200</v>
      </c>
      <c r="T23" s="43" t="s">
        <v>18</v>
      </c>
      <c r="U23" s="44" t="s">
        <v>80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4"/>
      <c r="AF23" s="104"/>
      <c r="AG23" s="104"/>
      <c r="AH23" s="104"/>
      <c r="AI23" s="104"/>
      <c r="AJ23" s="104"/>
      <c r="AK23" s="104"/>
    </row>
    <row r="24" spans="1:37" ht="39.75" customHeight="1">
      <c r="A24" s="151"/>
      <c r="B24" s="44" t="s">
        <v>84</v>
      </c>
      <c r="C24" s="10">
        <f>C23</f>
        <v>7506</v>
      </c>
      <c r="D24" s="10">
        <v>20394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95"/>
      <c r="U24" s="44" t="s">
        <v>84</v>
      </c>
      <c r="V24" s="101"/>
      <c r="W24" s="101"/>
      <c r="X24" s="101"/>
      <c r="Y24" s="101"/>
      <c r="Z24" s="101"/>
      <c r="AA24" s="101"/>
      <c r="AB24" s="101"/>
      <c r="AC24" s="101"/>
      <c r="AD24" s="101"/>
      <c r="AE24" s="104"/>
      <c r="AF24" s="104"/>
      <c r="AG24" s="104"/>
      <c r="AH24" s="104"/>
      <c r="AI24" s="104"/>
      <c r="AJ24" s="104"/>
      <c r="AK24" s="104"/>
    </row>
    <row r="25" spans="1:37" ht="26.25" customHeight="1">
      <c r="A25" s="152"/>
      <c r="B25" s="44" t="s">
        <v>21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0">
        <v>0</v>
      </c>
      <c r="T25" s="96"/>
      <c r="U25" s="44" t="s">
        <v>21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4"/>
      <c r="AF25" s="104"/>
      <c r="AG25" s="104"/>
      <c r="AH25" s="104"/>
      <c r="AI25" s="104"/>
      <c r="AJ25" s="104"/>
      <c r="AK25" s="104"/>
    </row>
    <row r="26" spans="1:37" ht="25.5" customHeight="1">
      <c r="A26" s="152"/>
      <c r="B26" s="4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0">
        <v>0</v>
      </c>
      <c r="T26" s="96"/>
      <c r="U26" s="44" t="s">
        <v>19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4"/>
      <c r="AF26" s="104"/>
      <c r="AG26" s="104"/>
      <c r="AH26" s="104"/>
      <c r="AI26" s="104"/>
      <c r="AJ26" s="104"/>
      <c r="AK26" s="104"/>
    </row>
    <row r="27" spans="1:37" ht="25.5" customHeight="1">
      <c r="A27" s="153"/>
      <c r="B27" s="44" t="s">
        <v>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0">
        <v>0</v>
      </c>
      <c r="T27" s="49"/>
      <c r="U27" s="44" t="s">
        <v>20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4"/>
      <c r="AF27" s="104"/>
      <c r="AG27" s="104"/>
      <c r="AH27" s="104"/>
      <c r="AI27" s="104"/>
      <c r="AJ27" s="104"/>
      <c r="AK27" s="104"/>
    </row>
    <row r="28" spans="1:37" ht="17.25" customHeight="1">
      <c r="A28" s="43" t="s">
        <v>22</v>
      </c>
      <c r="B28" s="44" t="s">
        <v>23</v>
      </c>
      <c r="C28" s="10">
        <f>C20-C21-C22-C23</f>
        <v>46040514</v>
      </c>
      <c r="D28" s="10">
        <f aca="true" t="shared" si="24" ref="D28:S28">D20-D21-D22-D23</f>
        <v>41171204.20999999</v>
      </c>
      <c r="E28" s="10">
        <f t="shared" si="24"/>
        <v>43693049.94665999</v>
      </c>
      <c r="F28" s="10">
        <f t="shared" si="24"/>
        <v>43899440.72691459</v>
      </c>
      <c r="G28" s="10">
        <f t="shared" si="24"/>
        <v>44101276.79798749</v>
      </c>
      <c r="H28" s="10">
        <f t="shared" si="24"/>
        <v>44294559.3638472</v>
      </c>
      <c r="I28" s="10">
        <f t="shared" si="24"/>
        <v>44464693.92052311</v>
      </c>
      <c r="J28" s="10">
        <f t="shared" si="24"/>
        <v>44636825.13322652</v>
      </c>
      <c r="K28" s="10">
        <f t="shared" si="24"/>
        <v>44774037.710926935</v>
      </c>
      <c r="L28" s="19">
        <f t="shared" si="24"/>
        <v>44902271.278331704</v>
      </c>
      <c r="M28" s="19">
        <f t="shared" si="24"/>
        <v>45012880.245216444</v>
      </c>
      <c r="N28" s="19">
        <f t="shared" si="24"/>
        <v>45115338.67305206</v>
      </c>
      <c r="O28" s="19">
        <f t="shared" si="24"/>
        <v>45170635.1388737</v>
      </c>
      <c r="P28" s="19">
        <f t="shared" si="24"/>
        <v>45218802.596335374</v>
      </c>
      <c r="Q28" s="19">
        <f t="shared" si="24"/>
        <v>45719158.94107758</v>
      </c>
      <c r="R28" s="19">
        <f t="shared" si="24"/>
        <v>46157251.78710688</v>
      </c>
      <c r="S28" s="118">
        <f t="shared" si="24"/>
        <v>46596700.41506487</v>
      </c>
      <c r="T28" s="43" t="s">
        <v>22</v>
      </c>
      <c r="U28" s="44" t="s">
        <v>23</v>
      </c>
      <c r="V28" s="113">
        <f>D28/C28</f>
        <v>0.8942385875622499</v>
      </c>
      <c r="W28" s="113">
        <f aca="true" t="shared" si="25" ref="W28:AK28">E28/D28</f>
        <v>1.0612526591108906</v>
      </c>
      <c r="X28" s="113">
        <f t="shared" si="25"/>
        <v>1.0047236524002459</v>
      </c>
      <c r="Y28" s="113">
        <f t="shared" si="25"/>
        <v>1.0045976911717045</v>
      </c>
      <c r="Z28" s="113">
        <f t="shared" si="25"/>
        <v>1.0043826977333348</v>
      </c>
      <c r="AA28" s="113">
        <f t="shared" si="25"/>
        <v>1.0038409809041868</v>
      </c>
      <c r="AB28" s="113">
        <f t="shared" si="25"/>
        <v>1.0038711885211913</v>
      </c>
      <c r="AC28" s="113">
        <f t="shared" si="25"/>
        <v>1.0030739770870998</v>
      </c>
      <c r="AD28" s="113">
        <f t="shared" si="25"/>
        <v>1.0028640161566995</v>
      </c>
      <c r="AE28" s="113">
        <f t="shared" si="25"/>
        <v>1.0024633267702454</v>
      </c>
      <c r="AF28" s="113">
        <f t="shared" si="25"/>
        <v>1.0022762024397784</v>
      </c>
      <c r="AG28" s="113">
        <f t="shared" si="25"/>
        <v>1.0012256688622547</v>
      </c>
      <c r="AH28" s="113">
        <f t="shared" si="25"/>
        <v>1.0010663444805146</v>
      </c>
      <c r="AI28" s="113">
        <f t="shared" si="25"/>
        <v>1.0110652276489682</v>
      </c>
      <c r="AJ28" s="113">
        <f t="shared" si="25"/>
        <v>1.0095822595204322</v>
      </c>
      <c r="AK28" s="113">
        <f t="shared" si="25"/>
        <v>1.0095206844199667</v>
      </c>
    </row>
    <row r="29" spans="1:37" ht="39.75" customHeight="1">
      <c r="A29" s="50" t="s">
        <v>25</v>
      </c>
      <c r="B29" s="42" t="s">
        <v>24</v>
      </c>
      <c r="C29" s="24">
        <f aca="true" t="shared" si="26" ref="C29:S29">C7-C20</f>
        <v>7240135</v>
      </c>
      <c r="D29" s="24">
        <f t="shared" si="26"/>
        <v>14026756.500000015</v>
      </c>
      <c r="E29" s="24">
        <f t="shared" si="26"/>
        <v>9410746.726440012</v>
      </c>
      <c r="F29" s="24">
        <f t="shared" si="26"/>
        <v>9101244.914633408</v>
      </c>
      <c r="G29" s="24">
        <f t="shared" si="26"/>
        <v>8491740.412327334</v>
      </c>
      <c r="H29" s="24">
        <f t="shared" si="26"/>
        <v>9901408.91576913</v>
      </c>
      <c r="I29" s="24">
        <f t="shared" si="26"/>
        <v>11945025.04763171</v>
      </c>
      <c r="J29" s="24">
        <f t="shared" si="26"/>
        <v>12447627.54106702</v>
      </c>
      <c r="K29" s="24">
        <f t="shared" si="26"/>
        <v>13046318.427495882</v>
      </c>
      <c r="L29" s="69">
        <f t="shared" si="26"/>
        <v>11665348.228209391</v>
      </c>
      <c r="M29" s="69">
        <f t="shared" si="26"/>
        <v>12263556.149858803</v>
      </c>
      <c r="N29" s="69">
        <f t="shared" si="26"/>
        <v>12651665.283912033</v>
      </c>
      <c r="O29" s="69">
        <f t="shared" si="26"/>
        <v>13358887.810156897</v>
      </c>
      <c r="P29" s="69">
        <f t="shared" si="26"/>
        <v>14390395.204332322</v>
      </c>
      <c r="Q29" s="69">
        <f t="shared" si="26"/>
        <v>15162077.742786527</v>
      </c>
      <c r="R29" s="69">
        <f t="shared" si="26"/>
        <v>15843599.79748942</v>
      </c>
      <c r="S29" s="24">
        <f t="shared" si="26"/>
        <v>14886557.960548803</v>
      </c>
      <c r="T29" s="156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</row>
    <row r="30" spans="1:37" ht="21" customHeight="1">
      <c r="A30" s="50" t="s">
        <v>27</v>
      </c>
      <c r="B30" s="42" t="s">
        <v>5</v>
      </c>
      <c r="C30" s="25">
        <f>C31+C32+C33</f>
        <v>2887616</v>
      </c>
      <c r="D30" s="25">
        <f>D31+D32+D33</f>
        <v>9700000</v>
      </c>
      <c r="E30" s="25">
        <f>E32</f>
        <v>3291016.500000015</v>
      </c>
      <c r="F30" s="25">
        <f aca="true" t="shared" si="27" ref="F30:S30">F31+F32</f>
        <v>1375430.2264400274</v>
      </c>
      <c r="G30" s="25">
        <f t="shared" si="27"/>
        <v>1064905.1410734355</v>
      </c>
      <c r="H30" s="25">
        <f t="shared" si="27"/>
        <v>789149.5534007698</v>
      </c>
      <c r="I30" s="25">
        <f t="shared" si="27"/>
        <v>1017522.4691698998</v>
      </c>
      <c r="J30" s="25">
        <f t="shared" si="27"/>
        <v>1234042.5168016106</v>
      </c>
      <c r="K30" s="25">
        <f t="shared" si="27"/>
        <v>1148165.0578686297</v>
      </c>
      <c r="L30" s="25">
        <f t="shared" si="27"/>
        <v>1789791.4853645116</v>
      </c>
      <c r="M30" s="25">
        <f t="shared" si="27"/>
        <v>1179278.7135739028</v>
      </c>
      <c r="N30" s="25">
        <f t="shared" si="27"/>
        <v>1287448.8634327054</v>
      </c>
      <c r="O30" s="25">
        <f t="shared" si="27"/>
        <v>1125549.1473447382</v>
      </c>
      <c r="P30" s="25">
        <f t="shared" si="27"/>
        <v>1755411.957501635</v>
      </c>
      <c r="Q30" s="25">
        <f t="shared" si="27"/>
        <v>1504315.1618339568</v>
      </c>
      <c r="R30" s="37">
        <f t="shared" si="27"/>
        <v>1747120.9046204835</v>
      </c>
      <c r="S30" s="25">
        <f t="shared" si="27"/>
        <v>1671448.702109903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/>
      <c r="AF30"/>
      <c r="AG30"/>
      <c r="AH30"/>
      <c r="AI30"/>
      <c r="AJ30"/>
      <c r="AK30"/>
    </row>
    <row r="31" spans="1:37" ht="16.5" customHeight="1">
      <c r="A31" s="49" t="s">
        <v>28</v>
      </c>
      <c r="B31" s="44" t="s">
        <v>26</v>
      </c>
      <c r="C31" s="10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12">
        <v>0</v>
      </c>
      <c r="T31" s="157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8" ht="16.5" customHeight="1">
      <c r="A32" s="49" t="s">
        <v>29</v>
      </c>
      <c r="B32" s="44" t="s">
        <v>119</v>
      </c>
      <c r="C32" s="10">
        <f>(1059010+41606+277000)</f>
        <v>1377616</v>
      </c>
      <c r="D32" s="10">
        <f>C56</f>
        <v>0</v>
      </c>
      <c r="E32" s="91">
        <f>D56</f>
        <v>3291016.500000015</v>
      </c>
      <c r="F32" s="10">
        <f aca="true" t="shared" si="28" ref="F32:S32">E56</f>
        <v>1375430.2264400274</v>
      </c>
      <c r="G32" s="10">
        <f t="shared" si="28"/>
        <v>1064905.1410734355</v>
      </c>
      <c r="H32" s="10">
        <f t="shared" si="28"/>
        <v>789149.5534007698</v>
      </c>
      <c r="I32" s="10">
        <f t="shared" si="28"/>
        <v>1017522.4691698998</v>
      </c>
      <c r="J32" s="10">
        <f t="shared" si="28"/>
        <v>1234042.5168016106</v>
      </c>
      <c r="K32" s="10">
        <f t="shared" si="28"/>
        <v>1148165.0578686297</v>
      </c>
      <c r="L32" s="10">
        <f t="shared" si="28"/>
        <v>1789791.4853645116</v>
      </c>
      <c r="M32" s="10">
        <f t="shared" si="28"/>
        <v>1179278.7135739028</v>
      </c>
      <c r="N32" s="10">
        <f t="shared" si="28"/>
        <v>1287448.8634327054</v>
      </c>
      <c r="O32" s="10">
        <f t="shared" si="28"/>
        <v>1125549.1473447382</v>
      </c>
      <c r="P32" s="10">
        <f t="shared" si="28"/>
        <v>1755411.957501635</v>
      </c>
      <c r="Q32" s="10">
        <f t="shared" si="28"/>
        <v>1504315.1618339568</v>
      </c>
      <c r="R32" s="19">
        <f t="shared" si="28"/>
        <v>1747120.9046204835</v>
      </c>
      <c r="S32" s="10">
        <f t="shared" si="28"/>
        <v>1671448.702109903</v>
      </c>
      <c r="T32" s="157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1:38" ht="40.5" customHeight="1">
      <c r="A33" s="49" t="s">
        <v>30</v>
      </c>
      <c r="B33" s="44" t="s">
        <v>147</v>
      </c>
      <c r="C33" s="10">
        <v>1510000</v>
      </c>
      <c r="D33" s="12">
        <v>9700000</v>
      </c>
      <c r="E33" s="12">
        <v>0</v>
      </c>
      <c r="F33" s="12">
        <v>0</v>
      </c>
      <c r="G33" s="20">
        <v>0</v>
      </c>
      <c r="H33" s="13">
        <v>0</v>
      </c>
      <c r="I33" s="13">
        <v>0</v>
      </c>
      <c r="J33" s="13">
        <v>0</v>
      </c>
      <c r="K33" s="13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3">
        <v>0</v>
      </c>
      <c r="T33" s="157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1:38" ht="44.25" customHeight="1">
      <c r="A34" s="50" t="s">
        <v>31</v>
      </c>
      <c r="B34" s="42" t="s">
        <v>102</v>
      </c>
      <c r="C34" s="25">
        <f aca="true" t="shared" si="29" ref="C34:S34">C29+C30</f>
        <v>10127751</v>
      </c>
      <c r="D34" s="25">
        <f t="shared" si="29"/>
        <v>23726756.500000015</v>
      </c>
      <c r="E34" s="25">
        <f t="shared" si="29"/>
        <v>12701763.226440027</v>
      </c>
      <c r="F34" s="25">
        <f t="shared" si="29"/>
        <v>10476675.141073436</v>
      </c>
      <c r="G34" s="25">
        <f t="shared" si="29"/>
        <v>9556645.55340077</v>
      </c>
      <c r="H34" s="25">
        <f t="shared" si="29"/>
        <v>10690558.4691699</v>
      </c>
      <c r="I34" s="25">
        <f t="shared" si="29"/>
        <v>12962547.51680161</v>
      </c>
      <c r="J34" s="25">
        <f t="shared" si="29"/>
        <v>13681670.05786863</v>
      </c>
      <c r="K34" s="25">
        <f t="shared" si="29"/>
        <v>14194483.485364512</v>
      </c>
      <c r="L34" s="37">
        <f t="shared" si="29"/>
        <v>13455139.713573903</v>
      </c>
      <c r="M34" s="37">
        <f t="shared" si="29"/>
        <v>13442834.863432705</v>
      </c>
      <c r="N34" s="37">
        <f t="shared" si="29"/>
        <v>13939114.147344738</v>
      </c>
      <c r="O34" s="37">
        <f t="shared" si="29"/>
        <v>14484436.957501635</v>
      </c>
      <c r="P34" s="37">
        <f t="shared" si="29"/>
        <v>16145807.161833957</v>
      </c>
      <c r="Q34" s="37">
        <f t="shared" si="29"/>
        <v>16666392.904620484</v>
      </c>
      <c r="R34" s="37">
        <f t="shared" si="29"/>
        <v>17590720.702109903</v>
      </c>
      <c r="S34" s="119">
        <f t="shared" si="29"/>
        <v>16558006.662658706</v>
      </c>
      <c r="T34" s="133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</row>
    <row r="35" spans="1:37" ht="26.25" customHeight="1">
      <c r="A35" s="50" t="s">
        <v>32</v>
      </c>
      <c r="B35" s="42" t="s">
        <v>103</v>
      </c>
      <c r="C35" s="25">
        <f>C37+C41+C43</f>
        <v>3531914</v>
      </c>
      <c r="D35" s="25">
        <f>D37+D41+D43</f>
        <v>10590700</v>
      </c>
      <c r="E35" s="25">
        <f aca="true" t="shared" si="30" ref="E35:R35">E37+E41+E43</f>
        <v>3826333</v>
      </c>
      <c r="F35" s="25">
        <f t="shared" si="30"/>
        <v>3911770</v>
      </c>
      <c r="G35" s="25">
        <f t="shared" si="30"/>
        <v>4032496</v>
      </c>
      <c r="H35" s="25">
        <f t="shared" si="30"/>
        <v>3873036</v>
      </c>
      <c r="I35" s="25">
        <f t="shared" si="30"/>
        <v>3728505</v>
      </c>
      <c r="J35" s="25">
        <f>J37+J41+J43</f>
        <v>3533505</v>
      </c>
      <c r="K35" s="25">
        <f t="shared" si="30"/>
        <v>3404692</v>
      </c>
      <c r="L35" s="25">
        <f t="shared" si="30"/>
        <v>3275861</v>
      </c>
      <c r="M35" s="25">
        <f>M37+M41+M43</f>
        <v>3155386</v>
      </c>
      <c r="N35" s="25">
        <f t="shared" si="30"/>
        <v>2813565</v>
      </c>
      <c r="O35" s="25">
        <f>O37+O41+O43</f>
        <v>2729025</v>
      </c>
      <c r="P35" s="25">
        <f t="shared" si="30"/>
        <v>2641492</v>
      </c>
      <c r="Q35" s="25">
        <f>Q37+Q41+Q43</f>
        <v>919272</v>
      </c>
      <c r="R35" s="25">
        <f t="shared" si="30"/>
        <v>919272</v>
      </c>
      <c r="S35" s="25">
        <f>S37+S41+S43</f>
        <v>436200</v>
      </c>
      <c r="T35" s="133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/>
      <c r="AF35"/>
      <c r="AG35"/>
      <c r="AH35"/>
      <c r="AI35"/>
      <c r="AJ35"/>
      <c r="AK35"/>
    </row>
    <row r="36" spans="1:37" ht="12.75" customHeight="1">
      <c r="A36" s="49" t="s">
        <v>33</v>
      </c>
      <c r="B36" s="44" t="s">
        <v>104</v>
      </c>
      <c r="C36" s="10">
        <f>C37+C41</f>
        <v>1932200</v>
      </c>
      <c r="D36" s="10">
        <f>D37+D41</f>
        <v>2281230</v>
      </c>
      <c r="E36" s="10">
        <f>E37+E41</f>
        <v>1947863</v>
      </c>
      <c r="F36" s="10">
        <f>F37+F41</f>
        <v>1790996</v>
      </c>
      <c r="G36" s="10">
        <f>G37+G41</f>
        <v>1630954</v>
      </c>
      <c r="H36" s="10">
        <f aca="true" t="shared" si="31" ref="H36:M36">H37+H39+H41</f>
        <v>1471494</v>
      </c>
      <c r="I36" s="10">
        <f t="shared" si="31"/>
        <v>1326963</v>
      </c>
      <c r="J36" s="10">
        <f t="shared" si="31"/>
        <v>1171963</v>
      </c>
      <c r="K36" s="10">
        <f t="shared" si="31"/>
        <v>1043150</v>
      </c>
      <c r="L36" s="19">
        <f t="shared" si="31"/>
        <v>914319</v>
      </c>
      <c r="M36" s="19">
        <f t="shared" si="31"/>
        <v>793844</v>
      </c>
      <c r="N36" s="19">
        <f aca="true" t="shared" si="32" ref="N36:S36">N37+N39+N41</f>
        <v>671973</v>
      </c>
      <c r="O36" s="19">
        <f t="shared" si="32"/>
        <v>587433</v>
      </c>
      <c r="P36" s="19">
        <f t="shared" si="32"/>
        <v>499900</v>
      </c>
      <c r="Q36" s="19">
        <f t="shared" si="32"/>
        <v>436200</v>
      </c>
      <c r="R36" s="19">
        <f t="shared" si="32"/>
        <v>436200</v>
      </c>
      <c r="S36" s="10">
        <f t="shared" si="32"/>
        <v>436200</v>
      </c>
      <c r="T36" s="135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/>
      <c r="AF36"/>
      <c r="AG36"/>
      <c r="AH36"/>
      <c r="AI36"/>
      <c r="AJ36"/>
      <c r="AK36"/>
    </row>
    <row r="37" spans="1:37" ht="14.25" customHeight="1">
      <c r="A37" s="49" t="s">
        <v>34</v>
      </c>
      <c r="B37" s="44" t="s">
        <v>35</v>
      </c>
      <c r="C37" s="10">
        <f>(1500000+432200)</f>
        <v>1932200</v>
      </c>
      <c r="D37" s="10">
        <v>1845030</v>
      </c>
      <c r="E37" s="10">
        <v>1511663</v>
      </c>
      <c r="F37" s="10">
        <v>1354796</v>
      </c>
      <c r="G37" s="10">
        <v>1194754</v>
      </c>
      <c r="H37" s="12">
        <v>1035294</v>
      </c>
      <c r="I37" s="12">
        <v>890763</v>
      </c>
      <c r="J37" s="12">
        <v>735763</v>
      </c>
      <c r="K37" s="12">
        <v>606950</v>
      </c>
      <c r="L37" s="71">
        <v>478119</v>
      </c>
      <c r="M37" s="71">
        <v>357644</v>
      </c>
      <c r="N37" s="71">
        <v>235773</v>
      </c>
      <c r="O37" s="71">
        <v>151233</v>
      </c>
      <c r="P37" s="71">
        <v>63700</v>
      </c>
      <c r="Q37" s="71">
        <v>0</v>
      </c>
      <c r="R37" s="85">
        <v>0</v>
      </c>
      <c r="S37" s="85">
        <v>0</v>
      </c>
      <c r="T37" s="133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/>
      <c r="AF37"/>
      <c r="AG37"/>
      <c r="AH37"/>
      <c r="AI37"/>
      <c r="AJ37"/>
      <c r="AK37"/>
    </row>
    <row r="38" spans="1:37" ht="51" customHeight="1">
      <c r="A38" s="49"/>
      <c r="B38" s="44" t="s">
        <v>38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12">
        <v>0</v>
      </c>
      <c r="T38" s="135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/>
      <c r="AF38"/>
      <c r="AG38"/>
      <c r="AH38"/>
      <c r="AI38"/>
      <c r="AJ38"/>
      <c r="AK38"/>
    </row>
    <row r="39" spans="1:30" ht="27.75" customHeight="1">
      <c r="A39" s="49" t="s">
        <v>37</v>
      </c>
      <c r="B39" s="44" t="s">
        <v>4</v>
      </c>
      <c r="C39" s="10">
        <v>0</v>
      </c>
      <c r="D39" s="12">
        <v>0</v>
      </c>
      <c r="E39" s="12">
        <v>0</v>
      </c>
      <c r="F39" s="12">
        <v>0</v>
      </c>
      <c r="G39" s="20">
        <v>0</v>
      </c>
      <c r="H39" s="13">
        <v>0</v>
      </c>
      <c r="I39" s="13">
        <v>0</v>
      </c>
      <c r="J39" s="13">
        <v>0</v>
      </c>
      <c r="K39" s="1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3">
        <v>0</v>
      </c>
      <c r="T39" s="147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</row>
    <row r="40" spans="1:30" ht="53.25" customHeight="1">
      <c r="A40" s="49"/>
      <c r="B40" s="44" t="s">
        <v>38</v>
      </c>
      <c r="C40" s="10">
        <v>0</v>
      </c>
      <c r="D40" s="12">
        <v>0</v>
      </c>
      <c r="E40" s="12">
        <v>0</v>
      </c>
      <c r="F40" s="12">
        <v>0</v>
      </c>
      <c r="G40" s="20">
        <v>0</v>
      </c>
      <c r="H40" s="13">
        <v>0</v>
      </c>
      <c r="I40" s="13">
        <v>0</v>
      </c>
      <c r="J40" s="13">
        <v>0</v>
      </c>
      <c r="K40" s="13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v>0</v>
      </c>
      <c r="T40" s="147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</row>
    <row r="41" spans="1:19" ht="39" customHeight="1">
      <c r="A41" s="49" t="s">
        <v>36</v>
      </c>
      <c r="B41" s="44" t="s">
        <v>81</v>
      </c>
      <c r="C41" s="10">
        <v>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9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0">
        <v>436200</v>
      </c>
    </row>
    <row r="42" spans="1:19" ht="55.5" customHeight="1">
      <c r="A42" s="49"/>
      <c r="B42" s="44" t="s">
        <v>38</v>
      </c>
      <c r="C42" s="10">
        <v>0</v>
      </c>
      <c r="D42" s="12">
        <v>0</v>
      </c>
      <c r="E42" s="12">
        <v>0</v>
      </c>
      <c r="F42" s="12">
        <v>0</v>
      </c>
      <c r="G42" s="20">
        <v>0</v>
      </c>
      <c r="H42" s="13">
        <v>0</v>
      </c>
      <c r="I42" s="13">
        <v>0</v>
      </c>
      <c r="J42" s="13">
        <v>0</v>
      </c>
      <c r="K42" s="13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v>0</v>
      </c>
    </row>
    <row r="43" spans="1:19" ht="27.75" customHeight="1">
      <c r="A43" s="51" t="s">
        <v>39</v>
      </c>
      <c r="B43" s="52" t="s">
        <v>105</v>
      </c>
      <c r="C43" s="22">
        <v>1599714</v>
      </c>
      <c r="D43" s="26">
        <v>8309470</v>
      </c>
      <c r="E43" s="26">
        <v>1878470</v>
      </c>
      <c r="F43" s="26">
        <v>2120774</v>
      </c>
      <c r="G43" s="26">
        <v>2401542</v>
      </c>
      <c r="H43" s="26">
        <v>2401542</v>
      </c>
      <c r="I43" s="26">
        <v>2401542</v>
      </c>
      <c r="J43" s="26">
        <v>2361542</v>
      </c>
      <c r="K43" s="26">
        <v>2361542</v>
      </c>
      <c r="L43" s="26">
        <v>2361542</v>
      </c>
      <c r="M43" s="26">
        <v>2361542</v>
      </c>
      <c r="N43" s="75">
        <v>2141592</v>
      </c>
      <c r="O43" s="75">
        <v>2141592</v>
      </c>
      <c r="P43" s="75">
        <v>2141592</v>
      </c>
      <c r="Q43" s="75">
        <v>483072</v>
      </c>
      <c r="R43" s="75">
        <v>483072</v>
      </c>
      <c r="S43" s="26">
        <v>0</v>
      </c>
    </row>
    <row r="44" spans="1:19" ht="53.25" customHeight="1">
      <c r="A44" s="49"/>
      <c r="B44" s="44" t="s">
        <v>38</v>
      </c>
      <c r="C44" s="10">
        <v>0</v>
      </c>
      <c r="D44" s="12">
        <v>0</v>
      </c>
      <c r="E44" s="12">
        <v>0</v>
      </c>
      <c r="F44" s="12">
        <v>0</v>
      </c>
      <c r="G44" s="20">
        <v>0</v>
      </c>
      <c r="H44" s="13">
        <v>0</v>
      </c>
      <c r="I44" s="13">
        <v>0</v>
      </c>
      <c r="J44" s="13">
        <v>0</v>
      </c>
      <c r="K44" s="1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v>0</v>
      </c>
    </row>
    <row r="45" spans="1:19" ht="28.5" customHeight="1">
      <c r="A45" s="50" t="s">
        <v>40</v>
      </c>
      <c r="B45" s="42" t="s">
        <v>149</v>
      </c>
      <c r="C45" s="25">
        <v>0</v>
      </c>
      <c r="D45" s="14">
        <v>0</v>
      </c>
      <c r="E45" s="14">
        <v>0</v>
      </c>
      <c r="F45" s="14">
        <v>0</v>
      </c>
      <c r="G45" s="31">
        <v>0</v>
      </c>
      <c r="H45" s="53">
        <v>0</v>
      </c>
      <c r="I45" s="53">
        <v>0</v>
      </c>
      <c r="J45" s="53">
        <v>0</v>
      </c>
      <c r="K45" s="5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3">
        <v>0</v>
      </c>
    </row>
    <row r="46" spans="1:19" ht="37.5" customHeight="1">
      <c r="A46" s="50" t="s">
        <v>41</v>
      </c>
      <c r="B46" s="42" t="s">
        <v>106</v>
      </c>
      <c r="C46" s="25">
        <f aca="true" t="shared" si="33" ref="C46:S46">C34-C35-C45</f>
        <v>6595837</v>
      </c>
      <c r="D46" s="25">
        <f t="shared" si="33"/>
        <v>13136056.500000015</v>
      </c>
      <c r="E46" s="25">
        <f t="shared" si="33"/>
        <v>8875430.226440027</v>
      </c>
      <c r="F46" s="25">
        <f t="shared" si="33"/>
        <v>6564905.141073436</v>
      </c>
      <c r="G46" s="25">
        <f t="shared" si="33"/>
        <v>5524149.55340077</v>
      </c>
      <c r="H46" s="25">
        <f t="shared" si="33"/>
        <v>6817522.4691699</v>
      </c>
      <c r="I46" s="25">
        <f t="shared" si="33"/>
        <v>9234042.51680161</v>
      </c>
      <c r="J46" s="25">
        <f t="shared" si="33"/>
        <v>10148165.05786863</v>
      </c>
      <c r="K46" s="25">
        <f t="shared" si="33"/>
        <v>10789791.485364512</v>
      </c>
      <c r="L46" s="37">
        <f t="shared" si="33"/>
        <v>10179278.713573903</v>
      </c>
      <c r="M46" s="37">
        <f t="shared" si="33"/>
        <v>10287448.863432705</v>
      </c>
      <c r="N46" s="37">
        <f t="shared" si="33"/>
        <v>11125549.147344738</v>
      </c>
      <c r="O46" s="37">
        <f t="shared" si="33"/>
        <v>11755411.957501635</v>
      </c>
      <c r="P46" s="37">
        <f t="shared" si="33"/>
        <v>13504315.161833957</v>
      </c>
      <c r="Q46" s="37">
        <f t="shared" si="33"/>
        <v>15747120.904620484</v>
      </c>
      <c r="R46" s="37">
        <f t="shared" si="33"/>
        <v>16671448.702109903</v>
      </c>
      <c r="S46" s="25">
        <f t="shared" si="33"/>
        <v>16121806.662658706</v>
      </c>
    </row>
    <row r="47" spans="1:19" ht="22.5" customHeight="1">
      <c r="A47" s="41" t="s">
        <v>43</v>
      </c>
      <c r="B47" s="42" t="s">
        <v>8</v>
      </c>
      <c r="C47" s="25">
        <f>(18005104+985-1400-679262-2230580+25000+4800+11400+35000+115450+24500+10000-7500-379600-35+2099-115450-209880-200000-1700000-1764094+2800-2430000+7500)</f>
        <v>8526837</v>
      </c>
      <c r="D47" s="14">
        <f>(18079208-2500000+425000)</f>
        <v>16004208</v>
      </c>
      <c r="E47" s="14">
        <f>(7500000)</f>
        <v>7500000</v>
      </c>
      <c r="F47" s="14">
        <f aca="true" t="shared" si="34" ref="F47:S47">F48+F52</f>
        <v>5500000</v>
      </c>
      <c r="G47" s="14">
        <f t="shared" si="34"/>
        <v>4735000</v>
      </c>
      <c r="H47" s="33">
        <f t="shared" si="34"/>
        <v>5800000</v>
      </c>
      <c r="I47" s="14">
        <f t="shared" si="34"/>
        <v>8000000</v>
      </c>
      <c r="J47" s="14">
        <f t="shared" si="34"/>
        <v>9000000</v>
      </c>
      <c r="K47" s="14">
        <f t="shared" si="34"/>
        <v>9000000</v>
      </c>
      <c r="L47" s="14">
        <f t="shared" si="34"/>
        <v>9000000</v>
      </c>
      <c r="M47" s="14">
        <f t="shared" si="34"/>
        <v>9000000</v>
      </c>
      <c r="N47" s="14">
        <f t="shared" si="34"/>
        <v>10000000</v>
      </c>
      <c r="O47" s="14">
        <f t="shared" si="34"/>
        <v>10000000</v>
      </c>
      <c r="P47" s="14">
        <f t="shared" si="34"/>
        <v>12000000</v>
      </c>
      <c r="Q47" s="14">
        <f t="shared" si="34"/>
        <v>14000000</v>
      </c>
      <c r="R47" s="14">
        <f t="shared" si="34"/>
        <v>15000000</v>
      </c>
      <c r="S47" s="14">
        <f t="shared" si="34"/>
        <v>14000000</v>
      </c>
    </row>
    <row r="48" spans="1:19" ht="26.25" customHeight="1">
      <c r="A48" s="43" t="s">
        <v>44</v>
      </c>
      <c r="B48" s="44" t="s">
        <v>82</v>
      </c>
      <c r="C48" s="10">
        <f>(12849882-799132+419870-1390000-275000-385000-7500+2100-1700000-1764094-993460-13235-131202-5000-82926+1230)</f>
        <v>5726533</v>
      </c>
      <c r="D48" s="115">
        <f>(18079208-2500000+425000)</f>
        <v>16004208</v>
      </c>
      <c r="E48" s="12">
        <f>(6100000+1400000)</f>
        <v>7500000</v>
      </c>
      <c r="F48" s="12">
        <f>(3400000+2100000)</f>
        <v>5500000</v>
      </c>
      <c r="G48" s="12">
        <v>4735000</v>
      </c>
      <c r="H48" s="12">
        <v>1800000</v>
      </c>
      <c r="I48" s="12">
        <v>0</v>
      </c>
      <c r="J48" s="12">
        <v>0</v>
      </c>
      <c r="K48" s="12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12">
        <v>0</v>
      </c>
    </row>
    <row r="49" spans="1:19" ht="42" customHeight="1">
      <c r="A49" s="151"/>
      <c r="B49" s="44" t="s">
        <v>84</v>
      </c>
      <c r="C49" s="10">
        <f>(4649688-799132+2100-131202+1230)</f>
        <v>3722684</v>
      </c>
      <c r="D49" s="12">
        <f>(3859908+425000)</f>
        <v>4284908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12">
        <v>0</v>
      </c>
    </row>
    <row r="50" spans="1:19" ht="25.5" customHeight="1">
      <c r="A50" s="152"/>
      <c r="B50" s="44" t="s">
        <v>45</v>
      </c>
      <c r="C50" s="10">
        <f aca="true" t="shared" si="35" ref="C50:H50">C48-C49</f>
        <v>2003849</v>
      </c>
      <c r="D50" s="10">
        <f t="shared" si="35"/>
        <v>11719300</v>
      </c>
      <c r="E50" s="10">
        <f t="shared" si="35"/>
        <v>7500000</v>
      </c>
      <c r="F50" s="10">
        <f t="shared" si="35"/>
        <v>5500000</v>
      </c>
      <c r="G50" s="10">
        <f t="shared" si="35"/>
        <v>4735000</v>
      </c>
      <c r="H50" s="10">
        <f t="shared" si="35"/>
        <v>1800000</v>
      </c>
      <c r="I50" s="10">
        <f>I48-I49</f>
        <v>0</v>
      </c>
      <c r="J50" s="10">
        <f>J48-J49</f>
        <v>0</v>
      </c>
      <c r="K50" s="12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12">
        <v>0</v>
      </c>
    </row>
    <row r="51" spans="1:19" ht="27.75" customHeight="1">
      <c r="A51" s="153"/>
      <c r="B51" s="44" t="s">
        <v>21</v>
      </c>
      <c r="C51" s="10">
        <v>0</v>
      </c>
      <c r="D51" s="12">
        <v>0</v>
      </c>
      <c r="E51" s="12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13">
        <v>0</v>
      </c>
    </row>
    <row r="52" spans="1:19" ht="15.75" customHeight="1">
      <c r="A52" s="43" t="s">
        <v>46</v>
      </c>
      <c r="B52" s="44" t="s">
        <v>47</v>
      </c>
      <c r="C52" s="10">
        <f>C47-C48</f>
        <v>2800304</v>
      </c>
      <c r="D52" s="10">
        <f>D47-D48</f>
        <v>0</v>
      </c>
      <c r="E52" s="10">
        <v>0</v>
      </c>
      <c r="F52" s="10">
        <v>0</v>
      </c>
      <c r="G52" s="10">
        <v>0</v>
      </c>
      <c r="H52" s="10">
        <v>4000000</v>
      </c>
      <c r="I52" s="10">
        <v>8000000</v>
      </c>
      <c r="J52" s="10">
        <v>9000000</v>
      </c>
      <c r="K52" s="10">
        <v>9000000</v>
      </c>
      <c r="L52" s="10">
        <v>9000000</v>
      </c>
      <c r="M52" s="10">
        <v>9000000</v>
      </c>
      <c r="N52" s="10">
        <v>10000000</v>
      </c>
      <c r="O52" s="10">
        <v>10000000</v>
      </c>
      <c r="P52" s="10">
        <v>12000000</v>
      </c>
      <c r="Q52" s="10">
        <v>14000000</v>
      </c>
      <c r="R52" s="10">
        <v>15000000</v>
      </c>
      <c r="S52" s="10">
        <v>14000000</v>
      </c>
    </row>
    <row r="53" spans="1:19" ht="26.25" customHeight="1">
      <c r="A53" s="43"/>
      <c r="B53" s="44" t="s">
        <v>116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0">
        <v>0</v>
      </c>
    </row>
    <row r="54" spans="1:19" ht="43.5" customHeight="1">
      <c r="A54" s="41" t="s">
        <v>48</v>
      </c>
      <c r="B54" s="42" t="s">
        <v>97</v>
      </c>
      <c r="C54" s="25">
        <v>1931000</v>
      </c>
      <c r="D54" s="25">
        <v>6159168</v>
      </c>
      <c r="E54" s="25">
        <v>0</v>
      </c>
      <c r="F54" s="25">
        <v>0</v>
      </c>
      <c r="G54" s="37">
        <v>0</v>
      </c>
      <c r="H54" s="53">
        <v>0</v>
      </c>
      <c r="I54" s="53">
        <v>0</v>
      </c>
      <c r="J54" s="53">
        <v>0</v>
      </c>
      <c r="K54" s="53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3">
        <v>0</v>
      </c>
    </row>
    <row r="55" spans="1:19" ht="51.75" customHeight="1">
      <c r="A55" s="43"/>
      <c r="B55" s="44" t="s">
        <v>38</v>
      </c>
      <c r="C55" s="10">
        <v>1931000</v>
      </c>
      <c r="D55" s="10">
        <v>0</v>
      </c>
      <c r="E55" s="10">
        <v>0</v>
      </c>
      <c r="F55" s="10">
        <v>0</v>
      </c>
      <c r="G55" s="19">
        <v>0</v>
      </c>
      <c r="H55" s="13">
        <v>0</v>
      </c>
      <c r="I55" s="13">
        <v>0</v>
      </c>
      <c r="J55" s="13">
        <v>0</v>
      </c>
      <c r="K55" s="13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13">
        <v>0</v>
      </c>
    </row>
    <row r="56" spans="1:19" ht="19.5" customHeight="1">
      <c r="A56" s="41" t="s">
        <v>49</v>
      </c>
      <c r="B56" s="42" t="s">
        <v>50</v>
      </c>
      <c r="C56" s="25">
        <f aca="true" t="shared" si="36" ref="C56:S56">C46-C47+C54</f>
        <v>0</v>
      </c>
      <c r="D56" s="25">
        <f t="shared" si="36"/>
        <v>3291016.500000015</v>
      </c>
      <c r="E56" s="25">
        <f t="shared" si="36"/>
        <v>1375430.2264400274</v>
      </c>
      <c r="F56" s="25">
        <f t="shared" si="36"/>
        <v>1064905.1410734355</v>
      </c>
      <c r="G56" s="25">
        <f t="shared" si="36"/>
        <v>789149.5534007698</v>
      </c>
      <c r="H56" s="25">
        <f t="shared" si="36"/>
        <v>1017522.4691698998</v>
      </c>
      <c r="I56" s="25">
        <f t="shared" si="36"/>
        <v>1234042.5168016106</v>
      </c>
      <c r="J56" s="25">
        <f t="shared" si="36"/>
        <v>1148165.0578686297</v>
      </c>
      <c r="K56" s="25">
        <f t="shared" si="36"/>
        <v>1789791.4853645116</v>
      </c>
      <c r="L56" s="37">
        <f t="shared" si="36"/>
        <v>1179278.7135739028</v>
      </c>
      <c r="M56" s="37">
        <f t="shared" si="36"/>
        <v>1287448.8634327054</v>
      </c>
      <c r="N56" s="37">
        <f t="shared" si="36"/>
        <v>1125549.1473447382</v>
      </c>
      <c r="O56" s="37">
        <f t="shared" si="36"/>
        <v>1755411.957501635</v>
      </c>
      <c r="P56" s="37">
        <f t="shared" si="36"/>
        <v>1504315.1618339568</v>
      </c>
      <c r="Q56" s="37">
        <f t="shared" si="36"/>
        <v>1747120.9046204835</v>
      </c>
      <c r="R56" s="37">
        <f t="shared" si="36"/>
        <v>1671448.702109903</v>
      </c>
      <c r="S56" s="25">
        <f t="shared" si="36"/>
        <v>2121806.6626587063</v>
      </c>
    </row>
    <row r="57" spans="1:19" ht="21" customHeight="1">
      <c r="A57" s="41" t="s">
        <v>51</v>
      </c>
      <c r="B57" s="42" t="s">
        <v>52</v>
      </c>
      <c r="C57" s="25">
        <v>30191282</v>
      </c>
      <c r="D57" s="25">
        <v>28040980</v>
      </c>
      <c r="E57" s="25">
        <v>26162510</v>
      </c>
      <c r="F57" s="25">
        <v>24041736</v>
      </c>
      <c r="G57" s="25">
        <v>21640194</v>
      </c>
      <c r="H57" s="25">
        <v>19238652</v>
      </c>
      <c r="I57" s="25">
        <v>16837110</v>
      </c>
      <c r="J57" s="25">
        <v>14475568</v>
      </c>
      <c r="K57" s="37">
        <v>12114026</v>
      </c>
      <c r="L57" s="129">
        <v>9752484</v>
      </c>
      <c r="M57" s="129">
        <v>7390942</v>
      </c>
      <c r="N57" s="129">
        <v>5249350</v>
      </c>
      <c r="O57" s="130">
        <v>3107758</v>
      </c>
      <c r="P57" s="130">
        <v>966144</v>
      </c>
      <c r="Q57" s="129">
        <v>483072</v>
      </c>
      <c r="R57" s="132">
        <v>0</v>
      </c>
      <c r="S57" s="87">
        <v>0</v>
      </c>
    </row>
    <row r="58" spans="1:19" ht="52.5" customHeight="1">
      <c r="A58" s="28"/>
      <c r="B58" s="44" t="s">
        <v>53</v>
      </c>
      <c r="C58" s="10">
        <v>0</v>
      </c>
      <c r="D58" s="22">
        <v>0</v>
      </c>
      <c r="E58" s="22">
        <v>0</v>
      </c>
      <c r="F58" s="22">
        <v>0</v>
      </c>
      <c r="G58" s="27">
        <v>0</v>
      </c>
      <c r="H58" s="54">
        <v>0</v>
      </c>
      <c r="I58" s="54">
        <v>0</v>
      </c>
      <c r="J58" s="54">
        <v>0</v>
      </c>
      <c r="K58" s="54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54">
        <v>0</v>
      </c>
    </row>
    <row r="59" spans="1:19" ht="18.75" customHeight="1">
      <c r="A59" s="41" t="s">
        <v>54</v>
      </c>
      <c r="B59" s="42" t="s">
        <v>55</v>
      </c>
      <c r="C59" s="112">
        <f>C43</f>
        <v>1599714</v>
      </c>
      <c r="D59" s="112">
        <f>D43</f>
        <v>8309470</v>
      </c>
      <c r="E59" s="112">
        <f aca="true" t="shared" si="37" ref="E59:S59">E43</f>
        <v>1878470</v>
      </c>
      <c r="F59" s="112">
        <f t="shared" si="37"/>
        <v>2120774</v>
      </c>
      <c r="G59" s="112">
        <f t="shared" si="37"/>
        <v>2401542</v>
      </c>
      <c r="H59" s="112">
        <f t="shared" si="37"/>
        <v>2401542</v>
      </c>
      <c r="I59" s="112">
        <f t="shared" si="37"/>
        <v>2401542</v>
      </c>
      <c r="J59" s="112">
        <f t="shared" si="37"/>
        <v>2361542</v>
      </c>
      <c r="K59" s="112">
        <f t="shared" si="37"/>
        <v>2361542</v>
      </c>
      <c r="L59" s="112">
        <f t="shared" si="37"/>
        <v>2361542</v>
      </c>
      <c r="M59" s="112">
        <f t="shared" si="37"/>
        <v>2361542</v>
      </c>
      <c r="N59" s="112">
        <f t="shared" si="37"/>
        <v>2141592</v>
      </c>
      <c r="O59" s="112">
        <f t="shared" si="37"/>
        <v>2141592</v>
      </c>
      <c r="P59" s="112">
        <f t="shared" si="37"/>
        <v>2141592</v>
      </c>
      <c r="Q59" s="112">
        <f t="shared" si="37"/>
        <v>483072</v>
      </c>
      <c r="R59" s="112">
        <f t="shared" si="37"/>
        <v>483072</v>
      </c>
      <c r="S59" s="112">
        <f t="shared" si="37"/>
        <v>0</v>
      </c>
    </row>
    <row r="60" spans="1:19" ht="51.75" customHeight="1">
      <c r="A60" s="28"/>
      <c r="B60" s="44" t="s">
        <v>53</v>
      </c>
      <c r="C60" s="22">
        <v>0</v>
      </c>
      <c r="D60" s="22">
        <f>D44</f>
        <v>0</v>
      </c>
      <c r="E60" s="22">
        <v>0</v>
      </c>
      <c r="F60" s="22">
        <v>0</v>
      </c>
      <c r="G60" s="27">
        <v>0</v>
      </c>
      <c r="H60" s="54">
        <v>0</v>
      </c>
      <c r="I60" s="54">
        <v>0</v>
      </c>
      <c r="J60" s="54">
        <v>0</v>
      </c>
      <c r="K60" s="54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54">
        <v>0</v>
      </c>
    </row>
    <row r="61" spans="1:19" ht="26.25" customHeight="1">
      <c r="A61" s="41" t="s">
        <v>56</v>
      </c>
      <c r="B61" s="42" t="s">
        <v>57</v>
      </c>
      <c r="C61" s="112">
        <f>C59</f>
        <v>1599714</v>
      </c>
      <c r="D61" s="112">
        <f>D59</f>
        <v>8309470</v>
      </c>
      <c r="E61" s="112">
        <f aca="true" t="shared" si="38" ref="E61:S61">E59</f>
        <v>1878470</v>
      </c>
      <c r="F61" s="112">
        <f t="shared" si="38"/>
        <v>2120774</v>
      </c>
      <c r="G61" s="112">
        <f t="shared" si="38"/>
        <v>2401542</v>
      </c>
      <c r="H61" s="112">
        <f t="shared" si="38"/>
        <v>2401542</v>
      </c>
      <c r="I61" s="112">
        <f t="shared" si="38"/>
        <v>2401542</v>
      </c>
      <c r="J61" s="112">
        <f t="shared" si="38"/>
        <v>2361542</v>
      </c>
      <c r="K61" s="112">
        <f t="shared" si="38"/>
        <v>2361542</v>
      </c>
      <c r="L61" s="112">
        <f t="shared" si="38"/>
        <v>2361542</v>
      </c>
      <c r="M61" s="112">
        <f t="shared" si="38"/>
        <v>2361542</v>
      </c>
      <c r="N61" s="112">
        <f t="shared" si="38"/>
        <v>2141592</v>
      </c>
      <c r="O61" s="112">
        <f t="shared" si="38"/>
        <v>2141592</v>
      </c>
      <c r="P61" s="112">
        <f t="shared" si="38"/>
        <v>2141592</v>
      </c>
      <c r="Q61" s="112">
        <f t="shared" si="38"/>
        <v>483072</v>
      </c>
      <c r="R61" s="112">
        <f t="shared" si="38"/>
        <v>483072</v>
      </c>
      <c r="S61" s="112">
        <f t="shared" si="38"/>
        <v>0</v>
      </c>
    </row>
    <row r="62" spans="1:19" ht="14.25" customHeight="1">
      <c r="A62" s="143"/>
      <c r="B62" s="55" t="s">
        <v>58</v>
      </c>
      <c r="C62" s="22">
        <v>0</v>
      </c>
      <c r="D62" s="22">
        <v>0</v>
      </c>
      <c r="E62" s="22">
        <v>0</v>
      </c>
      <c r="F62" s="22">
        <f>F7-F16</f>
        <v>1810248.9146334082</v>
      </c>
      <c r="G62" s="115">
        <f>G7-G16</f>
        <v>2125786.4123273343</v>
      </c>
      <c r="H62" s="115">
        <v>2401542</v>
      </c>
      <c r="I62" s="115">
        <v>2401542</v>
      </c>
      <c r="J62" s="115">
        <f>J7-J16</f>
        <v>2275664.541067019</v>
      </c>
      <c r="K62" s="115">
        <v>2361542</v>
      </c>
      <c r="L62" s="116">
        <f>+L7-L16</f>
        <v>1751029.2282093912</v>
      </c>
      <c r="M62" s="116">
        <v>2361542</v>
      </c>
      <c r="N62" s="116">
        <f>N7-N16</f>
        <v>1979692.2839120328</v>
      </c>
      <c r="O62" s="116">
        <v>2141592</v>
      </c>
      <c r="P62" s="116">
        <f>P7-P16</f>
        <v>1890495.2043323219</v>
      </c>
      <c r="Q62" s="22">
        <v>483072</v>
      </c>
      <c r="R62" s="22">
        <f>R7-R16</f>
        <v>407399.7974894196</v>
      </c>
      <c r="S62" s="22">
        <v>0</v>
      </c>
    </row>
    <row r="63" spans="1:19" ht="12.75" customHeight="1">
      <c r="A63" s="144"/>
      <c r="B63" s="55" t="s">
        <v>59</v>
      </c>
      <c r="C63" s="22">
        <v>89714</v>
      </c>
      <c r="D63" s="22">
        <v>0</v>
      </c>
      <c r="E63" s="22">
        <f>E59-E62</f>
        <v>1878470</v>
      </c>
      <c r="F63" s="22">
        <f>F59-F62</f>
        <v>310525.0853665918</v>
      </c>
      <c r="G63" s="27">
        <f>G59-G62</f>
        <v>275755.5876726657</v>
      </c>
      <c r="H63" s="26">
        <v>0</v>
      </c>
      <c r="I63" s="26">
        <v>0</v>
      </c>
      <c r="J63" s="26">
        <f>J59-J62</f>
        <v>85877.4589329809</v>
      </c>
      <c r="K63" s="26">
        <v>0</v>
      </c>
      <c r="L63" s="75">
        <f>L59-L62</f>
        <v>610512.7717906088</v>
      </c>
      <c r="M63" s="75">
        <v>0</v>
      </c>
      <c r="N63" s="75">
        <f>N59-N62</f>
        <v>161899.71608796716</v>
      </c>
      <c r="O63" s="75">
        <f>O59-O62</f>
        <v>0</v>
      </c>
      <c r="P63" s="26">
        <f>P59-P62</f>
        <v>251096.79566767812</v>
      </c>
      <c r="Q63" s="3">
        <v>0</v>
      </c>
      <c r="R63" s="131">
        <f>R59-R62</f>
        <v>75672.20251058042</v>
      </c>
      <c r="S63" s="85">
        <v>0</v>
      </c>
    </row>
    <row r="64" spans="1:19" ht="39" customHeight="1">
      <c r="A64" s="144"/>
      <c r="B64" s="44" t="s">
        <v>147</v>
      </c>
      <c r="C64" s="22">
        <v>1510000</v>
      </c>
      <c r="D64" s="115">
        <v>8309470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</row>
    <row r="65" spans="1:19" ht="29.25" customHeight="1">
      <c r="A65" s="145"/>
      <c r="B65" s="55" t="s">
        <v>60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</row>
    <row r="66" spans="1:19" ht="22.5" customHeight="1">
      <c r="A66" s="41" t="s">
        <v>61</v>
      </c>
      <c r="B66" s="42" t="s">
        <v>150</v>
      </c>
      <c r="C66" s="25"/>
      <c r="D66" s="25"/>
      <c r="E66" s="25"/>
      <c r="F66" s="25"/>
      <c r="G66" s="37"/>
      <c r="H66" s="53"/>
      <c r="I66" s="53"/>
      <c r="J66" s="53"/>
      <c r="K66" s="53"/>
      <c r="L66" s="31"/>
      <c r="M66" s="87"/>
      <c r="N66" s="87"/>
      <c r="O66" s="87"/>
      <c r="P66" s="88"/>
      <c r="Q66" s="87"/>
      <c r="R66" s="87"/>
      <c r="S66" s="87"/>
    </row>
    <row r="67" spans="1:19" ht="39" customHeight="1">
      <c r="A67" s="28" t="s">
        <v>107</v>
      </c>
      <c r="B67" s="44" t="s">
        <v>62</v>
      </c>
      <c r="C67" s="35">
        <f aca="true" t="shared" si="39" ref="C67:S67">C35/C7</f>
        <v>0.03774738068266881</v>
      </c>
      <c r="D67" s="35">
        <f t="shared" si="39"/>
        <v>0.10684496246835351</v>
      </c>
      <c r="E67" s="35">
        <f t="shared" si="39"/>
        <v>0.04041983678143543</v>
      </c>
      <c r="F67" s="35">
        <f t="shared" si="39"/>
        <v>0.04101070696403853</v>
      </c>
      <c r="G67" s="35">
        <f t="shared" si="39"/>
        <v>0.0420860984873059</v>
      </c>
      <c r="H67" s="35">
        <f t="shared" si="39"/>
        <v>0.03941056026877786</v>
      </c>
      <c r="I67" s="35">
        <f t="shared" si="39"/>
        <v>0.036784539464936435</v>
      </c>
      <c r="J67" s="35">
        <f t="shared" si="39"/>
        <v>0.03433064416695022</v>
      </c>
      <c r="K67" s="35">
        <f t="shared" si="39"/>
        <v>0.03255907227163475</v>
      </c>
      <c r="L67" s="77">
        <f t="shared" si="39"/>
        <v>0.031425172945989614</v>
      </c>
      <c r="M67" s="77">
        <f t="shared" si="39"/>
        <v>0.029796797145207575</v>
      </c>
      <c r="N67" s="77">
        <f t="shared" si="39"/>
        <v>0.026209007743982778</v>
      </c>
      <c r="O67" s="77">
        <f t="shared" si="39"/>
        <v>0.02501477009607893</v>
      </c>
      <c r="P67" s="77">
        <f t="shared" si="39"/>
        <v>0.02375894621495313</v>
      </c>
      <c r="Q67" s="77">
        <f t="shared" si="39"/>
        <v>0.008101201083132016</v>
      </c>
      <c r="R67" s="77">
        <f t="shared" si="39"/>
        <v>0.007949684901949625</v>
      </c>
      <c r="S67" s="35">
        <f t="shared" si="39"/>
        <v>0.0037544324787003513</v>
      </c>
    </row>
    <row r="68" spans="1:19" ht="49.5" customHeight="1">
      <c r="A68" s="28"/>
      <c r="B68" s="44" t="s">
        <v>63</v>
      </c>
      <c r="C68" s="35">
        <f aca="true" t="shared" si="40" ref="C68:S68">(C35-C38-C60)/C7</f>
        <v>0.03774738068266881</v>
      </c>
      <c r="D68" s="35">
        <f t="shared" si="40"/>
        <v>0.10684496246835351</v>
      </c>
      <c r="E68" s="35">
        <f t="shared" si="40"/>
        <v>0.04041983678143543</v>
      </c>
      <c r="F68" s="35">
        <f t="shared" si="40"/>
        <v>0.04101070696403853</v>
      </c>
      <c r="G68" s="35">
        <f t="shared" si="40"/>
        <v>0.0420860984873059</v>
      </c>
      <c r="H68" s="35">
        <f t="shared" si="40"/>
        <v>0.03941056026877786</v>
      </c>
      <c r="I68" s="35">
        <f t="shared" si="40"/>
        <v>0.036784539464936435</v>
      </c>
      <c r="J68" s="35">
        <f t="shared" si="40"/>
        <v>0.03433064416695022</v>
      </c>
      <c r="K68" s="35">
        <f t="shared" si="40"/>
        <v>0.03255907227163475</v>
      </c>
      <c r="L68" s="35">
        <f t="shared" si="40"/>
        <v>0.031425172945989614</v>
      </c>
      <c r="M68" s="35">
        <f t="shared" si="40"/>
        <v>0.029796797145207575</v>
      </c>
      <c r="N68" s="35">
        <f t="shared" si="40"/>
        <v>0.026209007743982778</v>
      </c>
      <c r="O68" s="35">
        <f t="shared" si="40"/>
        <v>0.02501477009607893</v>
      </c>
      <c r="P68" s="35">
        <f t="shared" si="40"/>
        <v>0.02375894621495313</v>
      </c>
      <c r="Q68" s="35">
        <f t="shared" si="40"/>
        <v>0.008101201083132016</v>
      </c>
      <c r="R68" s="35">
        <f t="shared" si="40"/>
        <v>0.007949684901949625</v>
      </c>
      <c r="S68" s="35">
        <f t="shared" si="40"/>
        <v>0.0037544324787003513</v>
      </c>
    </row>
    <row r="69" spans="1:19" ht="37.5" customHeight="1">
      <c r="A69" s="28" t="s">
        <v>108</v>
      </c>
      <c r="B69" s="44" t="s">
        <v>64</v>
      </c>
      <c r="C69" s="35">
        <f>C57/C7</f>
        <v>0.32266975213773796</v>
      </c>
      <c r="D69" s="35">
        <f>D57/D7</f>
        <v>0.2828932417758837</v>
      </c>
      <c r="E69" s="35">
        <f aca="true" t="shared" si="41" ref="E69:S69">E57/E7</f>
        <v>0.27637019151042846</v>
      </c>
      <c r="F69" s="35">
        <f t="shared" si="41"/>
        <v>0.25205177962988</v>
      </c>
      <c r="G69" s="35">
        <f t="shared" si="41"/>
        <v>0.22585300418609372</v>
      </c>
      <c r="H69" s="35">
        <f t="shared" si="41"/>
        <v>0.19576529991873137</v>
      </c>
      <c r="I69" s="35">
        <f t="shared" si="41"/>
        <v>0.16611090430895917</v>
      </c>
      <c r="J69" s="35">
        <f t="shared" si="41"/>
        <v>0.140640970968625</v>
      </c>
      <c r="K69" s="35">
        <f t="shared" si="41"/>
        <v>0.11584644015801207</v>
      </c>
      <c r="L69" s="35">
        <f t="shared" si="41"/>
        <v>0.09355509783626245</v>
      </c>
      <c r="M69" s="35">
        <f t="shared" si="41"/>
        <v>0.06979380636346703</v>
      </c>
      <c r="N69" s="35">
        <f t="shared" si="41"/>
        <v>0.04889890754287745</v>
      </c>
      <c r="O69" s="35">
        <f t="shared" si="41"/>
        <v>0.028486309903445393</v>
      </c>
      <c r="P69" s="35">
        <f t="shared" si="41"/>
        <v>0.008689999186785225</v>
      </c>
      <c r="Q69" s="35">
        <f t="shared" si="41"/>
        <v>0.004257133263746474</v>
      </c>
      <c r="R69" s="35">
        <f t="shared" si="41"/>
        <v>0</v>
      </c>
      <c r="S69" s="35">
        <f t="shared" si="41"/>
        <v>0</v>
      </c>
    </row>
    <row r="70" spans="1:19" ht="49.5" customHeight="1">
      <c r="A70" s="28"/>
      <c r="B70" s="44" t="s">
        <v>65</v>
      </c>
      <c r="C70" s="35">
        <f>(C57-C55)/C7</f>
        <v>0.3020321624064383</v>
      </c>
      <c r="D70" s="35">
        <f>(D57-D55)/D7</f>
        <v>0.2828932417758837</v>
      </c>
      <c r="E70" s="35">
        <f aca="true" t="shared" si="42" ref="E70:S70">(E57-E55)/E7</f>
        <v>0.27637019151042846</v>
      </c>
      <c r="F70" s="35">
        <f t="shared" si="42"/>
        <v>0.25205177962988</v>
      </c>
      <c r="G70" s="35">
        <f t="shared" si="42"/>
        <v>0.22585300418609372</v>
      </c>
      <c r="H70" s="35">
        <f t="shared" si="42"/>
        <v>0.19576529991873137</v>
      </c>
      <c r="I70" s="35">
        <f t="shared" si="42"/>
        <v>0.16611090430895917</v>
      </c>
      <c r="J70" s="35">
        <f t="shared" si="42"/>
        <v>0.140640970968625</v>
      </c>
      <c r="K70" s="35">
        <f t="shared" si="42"/>
        <v>0.11584644015801207</v>
      </c>
      <c r="L70" s="35">
        <f t="shared" si="42"/>
        <v>0.09355509783626245</v>
      </c>
      <c r="M70" s="35">
        <f t="shared" si="42"/>
        <v>0.06979380636346703</v>
      </c>
      <c r="N70" s="35">
        <f t="shared" si="42"/>
        <v>0.04889890754287745</v>
      </c>
      <c r="O70" s="35">
        <f t="shared" si="42"/>
        <v>0.028486309903445393</v>
      </c>
      <c r="P70" s="35">
        <f t="shared" si="42"/>
        <v>0.008689999186785225</v>
      </c>
      <c r="Q70" s="35">
        <f t="shared" si="42"/>
        <v>0.004257133263746474</v>
      </c>
      <c r="R70" s="35">
        <f t="shared" si="42"/>
        <v>0</v>
      </c>
      <c r="S70" s="35">
        <f t="shared" si="42"/>
        <v>0</v>
      </c>
    </row>
    <row r="71" spans="1:19" ht="38.25" customHeight="1">
      <c r="A71" s="28" t="s">
        <v>109</v>
      </c>
      <c r="B71" s="44" t="s">
        <v>88</v>
      </c>
      <c r="C71" s="35">
        <f aca="true" t="shared" si="43" ref="C71:S71">(C8+C13-C20-C36)/C7</f>
        <v>0.020390569217856085</v>
      </c>
      <c r="D71" s="35">
        <f t="shared" si="43"/>
        <v>0.04628724798869866</v>
      </c>
      <c r="E71" s="35">
        <f t="shared" si="43"/>
        <v>0.07165531040124395</v>
      </c>
      <c r="F71" s="35">
        <f t="shared" si="43"/>
        <v>0.07627680871927199</v>
      </c>
      <c r="G71" s="35">
        <f t="shared" si="43"/>
        <v>0.07124255624275826</v>
      </c>
      <c r="H71" s="35">
        <f t="shared" si="43"/>
        <v>0.08542703339282019</v>
      </c>
      <c r="I71" s="35">
        <f t="shared" si="43"/>
        <v>0.10441338493207705</v>
      </c>
      <c r="J71" s="35">
        <f t="shared" si="43"/>
        <v>0.10921483549420548</v>
      </c>
      <c r="K71" s="35">
        <f t="shared" si="43"/>
        <v>0.11445492243880324</v>
      </c>
      <c r="L71" s="77">
        <f t="shared" si="43"/>
        <v>0.10280166842420115</v>
      </c>
      <c r="M71" s="77">
        <f t="shared" si="43"/>
        <v>0.1079830289643779</v>
      </c>
      <c r="N71" s="77">
        <f t="shared" si="43"/>
        <v>0.11127079953519076</v>
      </c>
      <c r="O71" s="77">
        <f t="shared" si="43"/>
        <v>0.11674798473462014</v>
      </c>
      <c r="P71" s="77">
        <f t="shared" si="43"/>
        <v>0.12462661620614761</v>
      </c>
      <c r="Q71" s="77">
        <f t="shared" si="43"/>
        <v>0.12946828120382006</v>
      </c>
      <c r="R71" s="77">
        <f t="shared" si="43"/>
        <v>0.13294051501350643</v>
      </c>
      <c r="S71" s="35">
        <f t="shared" si="43"/>
        <v>0.12407792505099999</v>
      </c>
    </row>
    <row r="72" spans="1:19" ht="71.25" customHeight="1">
      <c r="A72" s="28" t="s">
        <v>110</v>
      </c>
      <c r="B72" s="44" t="s">
        <v>86</v>
      </c>
      <c r="C72" s="35">
        <v>0</v>
      </c>
      <c r="D72" s="35">
        <v>0</v>
      </c>
      <c r="E72" s="35">
        <v>0</v>
      </c>
      <c r="F72" s="62">
        <f aca="true" t="shared" si="44" ref="F72:L72">(C71+D71+E71)/3</f>
        <v>0.0461110425359329</v>
      </c>
      <c r="G72" s="62">
        <f t="shared" si="44"/>
        <v>0.06473978903640487</v>
      </c>
      <c r="H72" s="62">
        <f t="shared" si="44"/>
        <v>0.0730582251210914</v>
      </c>
      <c r="I72" s="62">
        <f t="shared" si="44"/>
        <v>0.0776487994516168</v>
      </c>
      <c r="J72" s="62">
        <f t="shared" si="44"/>
        <v>0.0870276581892185</v>
      </c>
      <c r="K72" s="62">
        <f t="shared" si="44"/>
        <v>0.09968508460636756</v>
      </c>
      <c r="L72" s="78">
        <f t="shared" si="44"/>
        <v>0.10936104762169525</v>
      </c>
      <c r="M72" s="78">
        <f aca="true" t="shared" si="45" ref="M72:S72">(J71+K71+L71)/3</f>
        <v>0.10882380878573662</v>
      </c>
      <c r="N72" s="78">
        <f t="shared" si="45"/>
        <v>0.10841320660912744</v>
      </c>
      <c r="O72" s="78">
        <f t="shared" si="45"/>
        <v>0.10735183230792326</v>
      </c>
      <c r="P72" s="78">
        <f t="shared" si="45"/>
        <v>0.11200060441139625</v>
      </c>
      <c r="Q72" s="78">
        <f t="shared" si="45"/>
        <v>0.1175484668253195</v>
      </c>
      <c r="R72" s="78">
        <f t="shared" si="45"/>
        <v>0.12361429404819595</v>
      </c>
      <c r="S72" s="62">
        <f t="shared" si="45"/>
        <v>0.129011804141158</v>
      </c>
    </row>
    <row r="73" spans="1:19" ht="52.5" customHeight="1">
      <c r="A73" s="28" t="s">
        <v>111</v>
      </c>
      <c r="B73" s="44" t="s">
        <v>87</v>
      </c>
      <c r="C73" s="35">
        <f aca="true" t="shared" si="46" ref="C73:S73">C35/C7</f>
        <v>0.03774738068266881</v>
      </c>
      <c r="D73" s="35">
        <f t="shared" si="46"/>
        <v>0.10684496246835351</v>
      </c>
      <c r="E73" s="35">
        <f t="shared" si="46"/>
        <v>0.04041983678143543</v>
      </c>
      <c r="F73" s="35">
        <f t="shared" si="46"/>
        <v>0.04101070696403853</v>
      </c>
      <c r="G73" s="35">
        <f t="shared" si="46"/>
        <v>0.0420860984873059</v>
      </c>
      <c r="H73" s="35">
        <f t="shared" si="46"/>
        <v>0.03941056026877786</v>
      </c>
      <c r="I73" s="35">
        <f t="shared" si="46"/>
        <v>0.036784539464936435</v>
      </c>
      <c r="J73" s="35">
        <f t="shared" si="46"/>
        <v>0.03433064416695022</v>
      </c>
      <c r="K73" s="35">
        <f t="shared" si="46"/>
        <v>0.03255907227163475</v>
      </c>
      <c r="L73" s="77">
        <f t="shared" si="46"/>
        <v>0.031425172945989614</v>
      </c>
      <c r="M73" s="77">
        <f t="shared" si="46"/>
        <v>0.029796797145207575</v>
      </c>
      <c r="N73" s="77">
        <f t="shared" si="46"/>
        <v>0.026209007743982778</v>
      </c>
      <c r="O73" s="77">
        <f t="shared" si="46"/>
        <v>0.02501477009607893</v>
      </c>
      <c r="P73" s="77">
        <f t="shared" si="46"/>
        <v>0.02375894621495313</v>
      </c>
      <c r="Q73" s="77">
        <f t="shared" si="46"/>
        <v>0.008101201083132016</v>
      </c>
      <c r="R73" s="77">
        <f t="shared" si="46"/>
        <v>0.007949684901949625</v>
      </c>
      <c r="S73" s="35">
        <f t="shared" si="46"/>
        <v>0.0037544324787003513</v>
      </c>
    </row>
    <row r="74" spans="1:19" ht="51" customHeight="1">
      <c r="A74" s="28"/>
      <c r="B74" s="44" t="s">
        <v>66</v>
      </c>
      <c r="C74" s="62">
        <f aca="true" t="shared" si="47" ref="C74:S74">(C43-C44+C36)/C7</f>
        <v>0.03774738068266881</v>
      </c>
      <c r="D74" s="62">
        <f t="shared" si="47"/>
        <v>0.10684496246835351</v>
      </c>
      <c r="E74" s="62">
        <f t="shared" si="47"/>
        <v>0.04041983678143543</v>
      </c>
      <c r="F74" s="62">
        <f t="shared" si="47"/>
        <v>0.04101070696403853</v>
      </c>
      <c r="G74" s="62">
        <f t="shared" si="47"/>
        <v>0.0420860984873059</v>
      </c>
      <c r="H74" s="62">
        <f t="shared" si="47"/>
        <v>0.03941056026877786</v>
      </c>
      <c r="I74" s="62">
        <f t="shared" si="47"/>
        <v>0.036784539464936435</v>
      </c>
      <c r="J74" s="62">
        <f t="shared" si="47"/>
        <v>0.03433064416695022</v>
      </c>
      <c r="K74" s="62">
        <f t="shared" si="47"/>
        <v>0.03255907227163475</v>
      </c>
      <c r="L74" s="78">
        <f t="shared" si="47"/>
        <v>0.031425172945989614</v>
      </c>
      <c r="M74" s="78">
        <f t="shared" si="47"/>
        <v>0.029796797145207575</v>
      </c>
      <c r="N74" s="78">
        <f t="shared" si="47"/>
        <v>0.026209007743982778</v>
      </c>
      <c r="O74" s="78">
        <f t="shared" si="47"/>
        <v>0.02501477009607893</v>
      </c>
      <c r="P74" s="78">
        <f t="shared" si="47"/>
        <v>0.02375894621495313</v>
      </c>
      <c r="Q74" s="78">
        <f t="shared" si="47"/>
        <v>0.008101201083132016</v>
      </c>
      <c r="R74" s="78">
        <f t="shared" si="47"/>
        <v>0.007949684901949625</v>
      </c>
      <c r="S74" s="62">
        <f t="shared" si="47"/>
        <v>0.0037544324787003513</v>
      </c>
    </row>
    <row r="75" spans="1:19" ht="43.5" customHeight="1">
      <c r="A75" s="28"/>
      <c r="B75" s="44" t="s">
        <v>85</v>
      </c>
      <c r="C75" s="22"/>
      <c r="D75" s="22"/>
      <c r="E75" s="22"/>
      <c r="F75" s="117" t="s">
        <v>148</v>
      </c>
      <c r="G75" s="117" t="s">
        <v>148</v>
      </c>
      <c r="H75" s="117" t="s">
        <v>148</v>
      </c>
      <c r="I75" s="117" t="s">
        <v>148</v>
      </c>
      <c r="J75" s="117" t="s">
        <v>148</v>
      </c>
      <c r="K75" s="117" t="s">
        <v>148</v>
      </c>
      <c r="L75" s="117" t="s">
        <v>148</v>
      </c>
      <c r="M75" s="117" t="s">
        <v>148</v>
      </c>
      <c r="N75" s="117" t="s">
        <v>148</v>
      </c>
      <c r="O75" s="117" t="s">
        <v>148</v>
      </c>
      <c r="P75" s="117" t="s">
        <v>148</v>
      </c>
      <c r="Q75" s="117" t="s">
        <v>148</v>
      </c>
      <c r="R75" s="117" t="s">
        <v>148</v>
      </c>
      <c r="S75" s="117" t="s">
        <v>148</v>
      </c>
    </row>
    <row r="76" spans="1:19" ht="43.5" customHeight="1">
      <c r="A76" s="124"/>
      <c r="B76" s="56"/>
      <c r="C76" s="29"/>
      <c r="D76" s="29"/>
      <c r="E76" s="29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1:19" s="30" customFormat="1" ht="27.75" customHeight="1">
      <c r="A77" s="142" t="s">
        <v>70</v>
      </c>
      <c r="B77" s="136" t="s">
        <v>91</v>
      </c>
      <c r="C77" s="138">
        <v>2011</v>
      </c>
      <c r="D77" s="139" t="s">
        <v>71</v>
      </c>
      <c r="E77" s="139"/>
      <c r="F77" s="139"/>
      <c r="G77" s="139"/>
      <c r="H77" s="139"/>
      <c r="I77" s="139"/>
      <c r="J77" s="139"/>
      <c r="K77" s="139"/>
      <c r="L77" s="146"/>
      <c r="M77" s="125"/>
      <c r="N77" s="125"/>
      <c r="O77" s="125"/>
      <c r="P77" s="126"/>
      <c r="Q77" s="127"/>
      <c r="R77" s="127"/>
      <c r="S77" s="127"/>
    </row>
    <row r="78" spans="1:19" s="30" customFormat="1" ht="18.75" customHeight="1">
      <c r="A78" s="142"/>
      <c r="B78" s="137"/>
      <c r="C78" s="139"/>
      <c r="D78" s="58">
        <v>2012</v>
      </c>
      <c r="E78" s="58">
        <v>2013</v>
      </c>
      <c r="F78" s="58">
        <v>2014</v>
      </c>
      <c r="G78" s="58">
        <v>2015</v>
      </c>
      <c r="H78" s="58">
        <v>2016</v>
      </c>
      <c r="I78" s="58">
        <v>2017</v>
      </c>
      <c r="J78" s="58">
        <v>2018</v>
      </c>
      <c r="K78" s="58">
        <v>2019</v>
      </c>
      <c r="L78" s="79">
        <v>2020</v>
      </c>
      <c r="M78" s="92">
        <v>2021</v>
      </c>
      <c r="N78" s="92">
        <v>2022</v>
      </c>
      <c r="O78" s="92">
        <v>2023</v>
      </c>
      <c r="P78" s="93">
        <v>2024</v>
      </c>
      <c r="Q78" s="92">
        <v>2025</v>
      </c>
      <c r="R78" s="92">
        <v>2026</v>
      </c>
      <c r="S78" s="92">
        <v>2027</v>
      </c>
    </row>
    <row r="79" spans="1:19" s="59" customFormat="1" ht="14.25" customHeight="1">
      <c r="A79" s="45" t="s">
        <v>121</v>
      </c>
      <c r="B79" s="123" t="s">
        <v>122</v>
      </c>
      <c r="C79" s="60" t="s">
        <v>123</v>
      </c>
      <c r="D79" s="60" t="s">
        <v>72</v>
      </c>
      <c r="E79" s="60" t="s">
        <v>73</v>
      </c>
      <c r="F79" s="60" t="s">
        <v>74</v>
      </c>
      <c r="G79" s="60" t="s">
        <v>75</v>
      </c>
      <c r="H79" s="61" t="s">
        <v>76</v>
      </c>
      <c r="I79" s="61" t="s">
        <v>42</v>
      </c>
      <c r="J79" s="61" t="s">
        <v>77</v>
      </c>
      <c r="K79" s="61" t="s">
        <v>78</v>
      </c>
      <c r="L79" s="80" t="s">
        <v>79</v>
      </c>
      <c r="M79" s="89">
        <v>13</v>
      </c>
      <c r="N79" s="89">
        <v>14</v>
      </c>
      <c r="O79" s="89">
        <v>15</v>
      </c>
      <c r="P79" s="90">
        <v>16</v>
      </c>
      <c r="Q79" s="89">
        <v>17</v>
      </c>
      <c r="R79" s="89">
        <v>18</v>
      </c>
      <c r="S79" s="89">
        <v>19</v>
      </c>
    </row>
    <row r="80" spans="1:19" ht="21.75" customHeight="1">
      <c r="A80" s="28" t="s">
        <v>94</v>
      </c>
      <c r="B80" s="121" t="s">
        <v>67</v>
      </c>
      <c r="C80" s="22">
        <f>C7</f>
        <v>93567128</v>
      </c>
      <c r="D80" s="22">
        <f aca="true" t="shared" si="48" ref="D80:S80">D7</f>
        <v>99122127.57000001</v>
      </c>
      <c r="E80" s="22">
        <f t="shared" si="48"/>
        <v>94664731.5943</v>
      </c>
      <c r="F80" s="22">
        <f t="shared" si="48"/>
        <v>95384115.261172</v>
      </c>
      <c r="G80" s="22">
        <f t="shared" si="48"/>
        <v>95815391.4223313</v>
      </c>
      <c r="H80" s="22">
        <f t="shared" si="48"/>
        <v>98274065.97587314</v>
      </c>
      <c r="I80" s="22">
        <f t="shared" si="48"/>
        <v>101360654.61833677</v>
      </c>
      <c r="J80" s="22">
        <f t="shared" si="48"/>
        <v>102925683.03747913</v>
      </c>
      <c r="K80" s="22">
        <f t="shared" si="48"/>
        <v>104569687.10887212</v>
      </c>
      <c r="L80" s="27">
        <f t="shared" si="48"/>
        <v>104243213.09639938</v>
      </c>
      <c r="M80" s="27">
        <f t="shared" si="48"/>
        <v>105896817.8567307</v>
      </c>
      <c r="N80" s="27">
        <f t="shared" si="48"/>
        <v>107351069.04785265</v>
      </c>
      <c r="O80" s="27">
        <f t="shared" si="48"/>
        <v>109096545.34173693</v>
      </c>
      <c r="P80" s="27">
        <f t="shared" si="48"/>
        <v>111178836.64122815</v>
      </c>
      <c r="Q80" s="27">
        <f t="shared" si="48"/>
        <v>113473544.30123578</v>
      </c>
      <c r="R80" s="27">
        <f t="shared" si="48"/>
        <v>115636281.3543154</v>
      </c>
      <c r="S80" s="22">
        <f t="shared" si="48"/>
        <v>116182672.74072716</v>
      </c>
    </row>
    <row r="81" spans="1:19" ht="22.5" customHeight="1">
      <c r="A81" s="28" t="s">
        <v>95</v>
      </c>
      <c r="B81" s="121" t="s">
        <v>113</v>
      </c>
      <c r="C81" s="22">
        <f>C16</f>
        <v>96786030</v>
      </c>
      <c r="D81" s="22">
        <f aca="true" t="shared" si="49" ref="D81:S81">D16</f>
        <v>103380809.07</v>
      </c>
      <c r="E81" s="22">
        <f t="shared" si="49"/>
        <v>94701847.86785999</v>
      </c>
      <c r="F81" s="22">
        <f t="shared" si="49"/>
        <v>93573866.34653859</v>
      </c>
      <c r="G81" s="22">
        <f t="shared" si="49"/>
        <v>93689605.01000397</v>
      </c>
      <c r="H81" s="22">
        <f t="shared" si="49"/>
        <v>95644151.06010401</v>
      </c>
      <c r="I81" s="22">
        <f t="shared" si="49"/>
        <v>98742592.57070506</v>
      </c>
      <c r="J81" s="22">
        <f t="shared" si="49"/>
        <v>100650018.49641211</v>
      </c>
      <c r="K81" s="22">
        <f t="shared" si="49"/>
        <v>101566518.68137623</v>
      </c>
      <c r="L81" s="27">
        <f t="shared" si="49"/>
        <v>102492183.86818999</v>
      </c>
      <c r="M81" s="27">
        <f t="shared" si="49"/>
        <v>103427105.7068719</v>
      </c>
      <c r="N81" s="27">
        <f t="shared" si="49"/>
        <v>105371376.76394062</v>
      </c>
      <c r="O81" s="27">
        <f t="shared" si="49"/>
        <v>106325090.53158003</v>
      </c>
      <c r="P81" s="27">
        <f t="shared" si="49"/>
        <v>109288341.43689583</v>
      </c>
      <c r="Q81" s="27">
        <f t="shared" si="49"/>
        <v>112747666.55844925</v>
      </c>
      <c r="R81" s="27">
        <f t="shared" si="49"/>
        <v>115228881.55682598</v>
      </c>
      <c r="S81" s="22">
        <f t="shared" si="49"/>
        <v>115732314.78017835</v>
      </c>
    </row>
    <row r="82" spans="1:19" ht="21.75" customHeight="1">
      <c r="A82" s="57" t="s">
        <v>112</v>
      </c>
      <c r="B82" s="122" t="s">
        <v>68</v>
      </c>
      <c r="C82" s="36">
        <f>C80-C81</f>
        <v>-3218902</v>
      </c>
      <c r="D82" s="36">
        <f aca="true" t="shared" si="50" ref="D82:S82">D80-D81</f>
        <v>-4258681.499999985</v>
      </c>
      <c r="E82" s="36">
        <f t="shared" si="50"/>
        <v>-37116.273559987545</v>
      </c>
      <c r="F82" s="36">
        <f t="shared" si="50"/>
        <v>1810248.9146334082</v>
      </c>
      <c r="G82" s="36">
        <f t="shared" si="50"/>
        <v>2125786.4123273343</v>
      </c>
      <c r="H82" s="36">
        <f t="shared" si="50"/>
        <v>2629914.91576913</v>
      </c>
      <c r="I82" s="36">
        <f t="shared" si="50"/>
        <v>2618062.047631711</v>
      </c>
      <c r="J82" s="36">
        <f t="shared" si="50"/>
        <v>2275664.541067019</v>
      </c>
      <c r="K82" s="36">
        <f t="shared" si="50"/>
        <v>3003168.427495882</v>
      </c>
      <c r="L82" s="81">
        <f t="shared" si="50"/>
        <v>1751029.2282093912</v>
      </c>
      <c r="M82" s="81">
        <f t="shared" si="50"/>
        <v>2469712.1498588026</v>
      </c>
      <c r="N82" s="81">
        <f t="shared" si="50"/>
        <v>1979692.2839120328</v>
      </c>
      <c r="O82" s="81">
        <f t="shared" si="50"/>
        <v>2771454.8101568967</v>
      </c>
      <c r="P82" s="81">
        <f t="shared" si="50"/>
        <v>1890495.2043323219</v>
      </c>
      <c r="Q82" s="81">
        <f t="shared" si="50"/>
        <v>725877.7427865267</v>
      </c>
      <c r="R82" s="81">
        <f t="shared" si="50"/>
        <v>407399.7974894196</v>
      </c>
      <c r="S82" s="36">
        <f t="shared" si="50"/>
        <v>450357.9605488032</v>
      </c>
    </row>
    <row r="83" spans="1:19" ht="23.25" customHeight="1">
      <c r="A83" s="28" t="s">
        <v>117</v>
      </c>
      <c r="B83" s="121" t="s">
        <v>69</v>
      </c>
      <c r="C83" s="22">
        <f>C30+C54</f>
        <v>4818616</v>
      </c>
      <c r="D83" s="22">
        <f aca="true" t="shared" si="51" ref="D83:S83">D30+D54</f>
        <v>15859168</v>
      </c>
      <c r="E83" s="22">
        <f t="shared" si="51"/>
        <v>3291016.500000015</v>
      </c>
      <c r="F83" s="22">
        <f t="shared" si="51"/>
        <v>1375430.2264400274</v>
      </c>
      <c r="G83" s="22">
        <f t="shared" si="51"/>
        <v>1064905.1410734355</v>
      </c>
      <c r="H83" s="22">
        <f t="shared" si="51"/>
        <v>789149.5534007698</v>
      </c>
      <c r="I83" s="22">
        <f t="shared" si="51"/>
        <v>1017522.4691698998</v>
      </c>
      <c r="J83" s="22">
        <f t="shared" si="51"/>
        <v>1234042.5168016106</v>
      </c>
      <c r="K83" s="22">
        <f t="shared" si="51"/>
        <v>1148165.0578686297</v>
      </c>
      <c r="L83" s="27">
        <f t="shared" si="51"/>
        <v>1789791.4853645116</v>
      </c>
      <c r="M83" s="27">
        <f t="shared" si="51"/>
        <v>1179278.7135739028</v>
      </c>
      <c r="N83" s="27">
        <f t="shared" si="51"/>
        <v>1287448.8634327054</v>
      </c>
      <c r="O83" s="27">
        <f t="shared" si="51"/>
        <v>1125549.1473447382</v>
      </c>
      <c r="P83" s="27">
        <f t="shared" si="51"/>
        <v>1755411.957501635</v>
      </c>
      <c r="Q83" s="27">
        <f t="shared" si="51"/>
        <v>1504315.1618339568</v>
      </c>
      <c r="R83" s="27">
        <f t="shared" si="51"/>
        <v>1747120.9046204835</v>
      </c>
      <c r="S83" s="22">
        <f t="shared" si="51"/>
        <v>1671448.702109903</v>
      </c>
    </row>
    <row r="84" spans="1:19" ht="21.75" customHeight="1">
      <c r="A84" s="28" t="s">
        <v>118</v>
      </c>
      <c r="B84" s="121" t="s">
        <v>126</v>
      </c>
      <c r="C84" s="22">
        <f>C43</f>
        <v>1599714</v>
      </c>
      <c r="D84" s="22">
        <f aca="true" t="shared" si="52" ref="D84:S84">D43</f>
        <v>8309470</v>
      </c>
      <c r="E84" s="22">
        <f t="shared" si="52"/>
        <v>1878470</v>
      </c>
      <c r="F84" s="22">
        <f t="shared" si="52"/>
        <v>2120774</v>
      </c>
      <c r="G84" s="22">
        <f t="shared" si="52"/>
        <v>2401542</v>
      </c>
      <c r="H84" s="22">
        <f t="shared" si="52"/>
        <v>2401542</v>
      </c>
      <c r="I84" s="22">
        <f t="shared" si="52"/>
        <v>2401542</v>
      </c>
      <c r="J84" s="22">
        <f t="shared" si="52"/>
        <v>2361542</v>
      </c>
      <c r="K84" s="22">
        <f t="shared" si="52"/>
        <v>2361542</v>
      </c>
      <c r="L84" s="27">
        <f t="shared" si="52"/>
        <v>2361542</v>
      </c>
      <c r="M84" s="27">
        <f t="shared" si="52"/>
        <v>2361542</v>
      </c>
      <c r="N84" s="27">
        <f t="shared" si="52"/>
        <v>2141592</v>
      </c>
      <c r="O84" s="27">
        <f t="shared" si="52"/>
        <v>2141592</v>
      </c>
      <c r="P84" s="27">
        <f t="shared" si="52"/>
        <v>2141592</v>
      </c>
      <c r="Q84" s="27">
        <f t="shared" si="52"/>
        <v>483072</v>
      </c>
      <c r="R84" s="27">
        <f t="shared" si="52"/>
        <v>483072</v>
      </c>
      <c r="S84" s="22">
        <f t="shared" si="52"/>
        <v>0</v>
      </c>
    </row>
    <row r="85" spans="1:19" ht="27.75" customHeight="1" thickBot="1">
      <c r="A85" s="63" t="s">
        <v>120</v>
      </c>
      <c r="B85" s="120" t="s">
        <v>7</v>
      </c>
      <c r="C85" s="64">
        <f>C83-C84</f>
        <v>3218902</v>
      </c>
      <c r="D85" s="64">
        <f aca="true" t="shared" si="53" ref="D85:S85">D83-D84</f>
        <v>7549698</v>
      </c>
      <c r="E85" s="64">
        <f t="shared" si="53"/>
        <v>1412546.500000015</v>
      </c>
      <c r="F85" s="64">
        <f t="shared" si="53"/>
        <v>-745343.7735599726</v>
      </c>
      <c r="G85" s="64">
        <f t="shared" si="53"/>
        <v>-1336636.8589265645</v>
      </c>
      <c r="H85" s="64">
        <f t="shared" si="53"/>
        <v>-1612392.4465992302</v>
      </c>
      <c r="I85" s="64">
        <f t="shared" si="53"/>
        <v>-1384019.5308301002</v>
      </c>
      <c r="J85" s="64">
        <f t="shared" si="53"/>
        <v>-1127499.4831983894</v>
      </c>
      <c r="K85" s="64">
        <f t="shared" si="53"/>
        <v>-1213376.9421313703</v>
      </c>
      <c r="L85" s="82">
        <f t="shared" si="53"/>
        <v>-571750.5146354884</v>
      </c>
      <c r="M85" s="82">
        <f t="shared" si="53"/>
        <v>-1182263.2864260972</v>
      </c>
      <c r="N85" s="82">
        <f t="shared" si="53"/>
        <v>-854143.1365672946</v>
      </c>
      <c r="O85" s="82">
        <f t="shared" si="53"/>
        <v>-1016042.8526552618</v>
      </c>
      <c r="P85" s="82">
        <f t="shared" si="53"/>
        <v>-386180.04249836504</v>
      </c>
      <c r="Q85" s="82">
        <f t="shared" si="53"/>
        <v>1021243.1618339568</v>
      </c>
      <c r="R85" s="82">
        <f t="shared" si="53"/>
        <v>1264048.9046204835</v>
      </c>
      <c r="S85" s="64">
        <f t="shared" si="53"/>
        <v>1671448.702109903</v>
      </c>
    </row>
    <row r="86" spans="1:19" ht="26.25" customHeight="1" thickBot="1">
      <c r="A86" s="65"/>
      <c r="B86" s="67" t="s">
        <v>89</v>
      </c>
      <c r="C86" s="66">
        <f>C82+C85</f>
        <v>0</v>
      </c>
      <c r="D86" s="66">
        <f aca="true" t="shared" si="54" ref="D86:S86">D82+D85</f>
        <v>3291016.500000015</v>
      </c>
      <c r="E86" s="66">
        <f t="shared" si="54"/>
        <v>1375430.2264400274</v>
      </c>
      <c r="F86" s="66">
        <f t="shared" si="54"/>
        <v>1064905.1410734355</v>
      </c>
      <c r="G86" s="66">
        <f t="shared" si="54"/>
        <v>789149.5534007698</v>
      </c>
      <c r="H86" s="66">
        <f t="shared" si="54"/>
        <v>1017522.4691698998</v>
      </c>
      <c r="I86" s="66">
        <f t="shared" si="54"/>
        <v>1234042.5168016106</v>
      </c>
      <c r="J86" s="66">
        <f t="shared" si="54"/>
        <v>1148165.0578686297</v>
      </c>
      <c r="K86" s="66">
        <f t="shared" si="54"/>
        <v>1789791.4853645116</v>
      </c>
      <c r="L86" s="83">
        <f t="shared" si="54"/>
        <v>1179278.7135739028</v>
      </c>
      <c r="M86" s="83">
        <f t="shared" si="54"/>
        <v>1287448.8634327054</v>
      </c>
      <c r="N86" s="83">
        <f t="shared" si="54"/>
        <v>1125549.1473447382</v>
      </c>
      <c r="O86" s="83">
        <f t="shared" si="54"/>
        <v>1755411.957501635</v>
      </c>
      <c r="P86" s="83">
        <f t="shared" si="54"/>
        <v>1504315.1618339568</v>
      </c>
      <c r="Q86" s="83">
        <f t="shared" si="54"/>
        <v>1747120.9046204835</v>
      </c>
      <c r="R86" s="83">
        <f t="shared" si="54"/>
        <v>1671448.702109903</v>
      </c>
      <c r="S86" s="94">
        <f t="shared" si="54"/>
        <v>2121806.6626587063</v>
      </c>
    </row>
    <row r="87" spans="13:19" ht="12.75">
      <c r="M87" s="5"/>
      <c r="N87" s="5"/>
      <c r="O87" s="5"/>
      <c r="P87" s="5"/>
      <c r="Q87" s="5"/>
      <c r="R87" s="5"/>
      <c r="S87" s="5"/>
    </row>
    <row r="88" spans="13:19" ht="12.75">
      <c r="M88" s="5"/>
      <c r="N88" s="5"/>
      <c r="O88" s="5"/>
      <c r="P88" s="5"/>
      <c r="Q88" s="5"/>
      <c r="R88" s="5"/>
      <c r="S88" s="5"/>
    </row>
    <row r="108" spans="11:28" ht="12.75">
      <c r="K108" s="140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</row>
    <row r="109" spans="11:28" ht="12.75"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/>
      <c r="W109"/>
      <c r="X109"/>
      <c r="Y109"/>
      <c r="Z109"/>
      <c r="AA109"/>
      <c r="AB109"/>
    </row>
    <row r="110" spans="11:28" ht="12.75">
      <c r="K110" s="133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</row>
    <row r="111" spans="11:29" ht="12.75">
      <c r="K111" s="133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</row>
    <row r="112" spans="11:29" ht="12.75">
      <c r="K112" s="133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</row>
    <row r="113" spans="11:29" ht="82.5" customHeight="1">
      <c r="K113" s="133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</row>
    <row r="114" spans="11:28" ht="12.75">
      <c r="K114" s="133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/>
      <c r="W114"/>
      <c r="X114"/>
      <c r="Y114"/>
      <c r="Z114"/>
      <c r="AA114"/>
      <c r="AB114"/>
    </row>
    <row r="115" spans="11:28" ht="12.75">
      <c r="K115" s="135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/>
      <c r="W115"/>
      <c r="X115"/>
      <c r="Y115"/>
      <c r="Z115"/>
      <c r="AA115"/>
      <c r="AB115"/>
    </row>
  </sheetData>
  <sheetProtection/>
  <protectedRanges>
    <protectedRange sqref="C21:C22 E21:S21 C23:S28" name="Zakres4"/>
    <protectedRange sqref="E78:L78 C79:C86 D77:D79 E44:G45 Q62:S62 C77 C30:C34 D34:L34 D33:G33 E79:G79 C39:G40 E77:G77 E42:G42 C42:D45 C58:G58 C51:G51 C54:G55 M37:Q37 C41:S41 M38:S38 C46:S46 D80:S86 D30 C35:L38 M34:S36 F30:K30 D31:S32 C66:G66 C64:O65 C48:S50 C60:G60 C62:F62 C63:G63 Q64:S65 C47:H47 L62:M62 O62 E43:S43 C52:S53 C59:S59 C61:S61 C57:K57 C56:S56 C67:S76" name="Zakres2"/>
    <protectedRange sqref="C13:S15 C20:S20 C9:S11" name="Zakres1"/>
    <protectedRange sqref="T30:U30 T34:U38 T32:U32 K109:L109 K113:L115 K111:L111" name="Zakres2_1"/>
  </protectedRanges>
  <mergeCells count="30">
    <mergeCell ref="F1:G1"/>
    <mergeCell ref="F2:G2"/>
    <mergeCell ref="C5:C6"/>
    <mergeCell ref="E5:S5"/>
    <mergeCell ref="J1:S1"/>
    <mergeCell ref="L4:S4"/>
    <mergeCell ref="A49:A51"/>
    <mergeCell ref="T29:AK29"/>
    <mergeCell ref="T31:AK31"/>
    <mergeCell ref="T32:AL32"/>
    <mergeCell ref="T33:AL33"/>
    <mergeCell ref="T34:AL34"/>
    <mergeCell ref="A77:A78"/>
    <mergeCell ref="A62:A65"/>
    <mergeCell ref="D77:L77"/>
    <mergeCell ref="T37:AD38"/>
    <mergeCell ref="T39:AD39"/>
    <mergeCell ref="T5:U5"/>
    <mergeCell ref="T40:AD40"/>
    <mergeCell ref="A24:A27"/>
    <mergeCell ref="T35:AD36"/>
    <mergeCell ref="A5:B6"/>
    <mergeCell ref="K111:AC111"/>
    <mergeCell ref="K112:AC112"/>
    <mergeCell ref="K113:AC113"/>
    <mergeCell ref="K114:U115"/>
    <mergeCell ref="B77:B78"/>
    <mergeCell ref="C77:C78"/>
    <mergeCell ref="K108:AB108"/>
    <mergeCell ref="K110:AB110"/>
  </mergeCells>
  <printOptions/>
  <pageMargins left="0.5905511811023623" right="0.5905511811023623" top="0.5905511811023623" bottom="0.38" header="0.32" footer="0.39"/>
  <pageSetup horizontalDpi="600" verticalDpi="600" orientation="landscape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skarbnik</cp:lastModifiedBy>
  <cp:lastPrinted>2011-11-17T08:22:15Z</cp:lastPrinted>
  <dcterms:created xsi:type="dcterms:W3CDTF">2004-10-05T07:26:56Z</dcterms:created>
  <dcterms:modified xsi:type="dcterms:W3CDTF">2011-11-17T08:22:23Z</dcterms:modified>
  <cp:category/>
  <cp:version/>
  <cp:contentType/>
  <cp:contentStatus/>
</cp:coreProperties>
</file>