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2" activeTab="1"/>
  </bookViews>
  <sheets>
    <sheet name="Arkusz2" sheetId="1" r:id="rId1"/>
    <sheet name="Arkusz1" sheetId="2" r:id="rId2"/>
    <sheet name="Arkusz3" sheetId="3" r:id="rId3"/>
  </sheets>
  <definedNames>
    <definedName name="_xlnm.Print_Area" localSheetId="1">'Arkusz1'!$A$1:$I$635</definedName>
  </definedNames>
  <calcPr fullCalcOnLoad="1"/>
</workbook>
</file>

<file path=xl/sharedStrings.xml><?xml version="1.0" encoding="utf-8"?>
<sst xmlns="http://schemas.openxmlformats.org/spreadsheetml/2006/main" count="650" uniqueCount="350">
  <si>
    <t>Wyszczególnienie</t>
  </si>
  <si>
    <t>* rezerwa ogólna</t>
  </si>
  <si>
    <t>w tym:</t>
  </si>
  <si>
    <t>Dzienny Dom Pomocy Społecznej</t>
  </si>
  <si>
    <t>wydatki związane z profilaktyką i rozwiązywaniem problemów alkoholowych</t>
  </si>
  <si>
    <t>zadania własne</t>
  </si>
  <si>
    <t>zadania zlecone</t>
  </si>
  <si>
    <t>wydatki na dodatki mieszkaniowe</t>
  </si>
  <si>
    <t>RAZEM    WYDATKI</t>
  </si>
  <si>
    <t xml:space="preserve"> </t>
  </si>
  <si>
    <t>* odbitki map geodezyjnych, kserokopie map, filmy itp..</t>
  </si>
  <si>
    <t>pozostałe wydatki bieżące</t>
  </si>
  <si>
    <t>w tym: wydatki bieżące</t>
  </si>
  <si>
    <t xml:space="preserve">* rezerwa celowa </t>
  </si>
  <si>
    <t>świadczenia społeczne</t>
  </si>
  <si>
    <t>promocja i ochrona zdrowia</t>
  </si>
  <si>
    <t>* pozostałe wydatki bieżące</t>
  </si>
  <si>
    <t>dotacja dla jednostek nie zaliczanych do sektora finansów publicznych</t>
  </si>
  <si>
    <t>bieżące utrzymanie MOPS</t>
  </si>
  <si>
    <t>Dział</t>
  </si>
  <si>
    <t>010</t>
  </si>
  <si>
    <t>rozdział</t>
  </si>
  <si>
    <t>01095</t>
  </si>
  <si>
    <t>Pozostała działalność</t>
  </si>
  <si>
    <t>Rolnictwo i łowiectwo</t>
  </si>
  <si>
    <t>Transport i łączność</t>
  </si>
  <si>
    <t>Lokalny transport zbiorowy</t>
  </si>
  <si>
    <t>Drogi publiczne gminne</t>
  </si>
  <si>
    <t>Składka na rzecz Izby Rolniczej</t>
  </si>
  <si>
    <t>* Dofinansowanie komunikacji miejskiej</t>
  </si>
  <si>
    <t>Gospodarka mieszkaniowa</t>
  </si>
  <si>
    <t>Różne jednostki obsługi gospodarki mieszkaniowej</t>
  </si>
  <si>
    <t xml:space="preserve">Gospodarka gruntami i nieruchomościami 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</si>
  <si>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</si>
  <si>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</si>
  <si>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</si>
  <si>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</si>
  <si>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</si>
  <si>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Rada miasta</t>
  </si>
  <si>
    <t>Urząd  miasta</t>
  </si>
  <si>
    <t>Obrona cywilna</t>
  </si>
  <si>
    <t>Obsługa długu publicznego</t>
  </si>
  <si>
    <t>Różne rozliczenia</t>
  </si>
  <si>
    <t>Oświata i wychowanie</t>
  </si>
  <si>
    <t>Szkoły podstawowe</t>
  </si>
  <si>
    <t>Przedszkola</t>
  </si>
  <si>
    <t>Gimnazja</t>
  </si>
  <si>
    <t>* nauka pływania w szkołach</t>
  </si>
  <si>
    <t>* nauka pływania</t>
  </si>
  <si>
    <t>Dokształcanie i doskonalenie nauczycieli</t>
  </si>
  <si>
    <t>Ochrona zdrowia</t>
  </si>
  <si>
    <t>Przeciwdziałanie alkoholizmowi</t>
  </si>
  <si>
    <t xml:space="preserve"> Pozostała działalność</t>
  </si>
  <si>
    <t xml:space="preserve"> Pomoc społeczna                                    </t>
  </si>
  <si>
    <t>Domy pomocy społecznej</t>
  </si>
  <si>
    <t>Dodatki mieszkaniowe</t>
  </si>
  <si>
    <t>Ośrodki pomocy społecznej</t>
  </si>
  <si>
    <t xml:space="preserve">Pozostałe zadania w zakresie polityki społecznej </t>
  </si>
  <si>
    <t>Żłobki</t>
  </si>
  <si>
    <t>Żłobek "Tęczowy Świat"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</si>
  <si>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</si>
  <si>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</si>
  <si>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</si>
  <si>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</si>
  <si>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</si>
  <si>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</si>
  <si>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</si>
  <si>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</si>
  <si>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</si>
  <si>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</si>
  <si>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</si>
  <si>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Obiekty sportowe</t>
  </si>
  <si>
    <t>Rezerwy ogólne i celowe</t>
  </si>
  <si>
    <t>Zasiłki i pomoc w naturze oraz składki na ubezpieczenia emerytalne i rentowe</t>
  </si>
  <si>
    <t>wynagrodzenia i pochodne</t>
  </si>
  <si>
    <t>* wynagrodzenia i pochodne</t>
  </si>
  <si>
    <t xml:space="preserve">* wynagrodzenia i pochodne </t>
  </si>
  <si>
    <t xml:space="preserve">w tym: </t>
  </si>
  <si>
    <t>2. Inne zadania</t>
  </si>
  <si>
    <t>1. Bieżące utrzymanie gimnazjów</t>
  </si>
  <si>
    <t xml:space="preserve">2. Inne zadania </t>
  </si>
  <si>
    <t>Bezpieczeństwo publiczne i ochrona przeciwpożarowa</t>
  </si>
  <si>
    <t>wynagrodzenia i pochodne od wynagrodzeń</t>
  </si>
  <si>
    <t>Dowożenie uczniów do szkół</t>
  </si>
  <si>
    <t>Pomoc materialna dla uczniów</t>
  </si>
  <si>
    <t>* ZNM - prace remontowe</t>
  </si>
  <si>
    <t>Cmentarze</t>
  </si>
  <si>
    <t>Promocja jednostek samorządu terytorialnego</t>
  </si>
  <si>
    <t>Zwalczanie narkomanii</t>
  </si>
  <si>
    <t xml:space="preserve">zadania zlecone </t>
  </si>
  <si>
    <t xml:space="preserve">Miejski Ośrodek Sportu i Rekreacji </t>
  </si>
  <si>
    <t xml:space="preserve">  w tym:   wynagr. i pochodne od wynagr.</t>
  </si>
  <si>
    <t xml:space="preserve">                pozostałe wydatki bieżące</t>
  </si>
  <si>
    <t>w tym m. in.:</t>
  </si>
  <si>
    <t>w tym m.in.:</t>
  </si>
  <si>
    <t>Ochrona zabytków i opieka nad zabytkami</t>
  </si>
  <si>
    <t>Turystyka</t>
  </si>
  <si>
    <t>Obrona narodowa</t>
  </si>
  <si>
    <t>Pozostałe wydatki obronne</t>
  </si>
  <si>
    <t>* Opieka nad bezdomnymi zwierzętami w tym m. in. opieka weterynaryjna, przytulisko, zakup karmy</t>
  </si>
  <si>
    <t>Świadczenia rodzinne, świadczenie z funduszu alimentacyjnego oraz składki na ubezpieczenia emerytalne i rentowe z ubezpieczenia społecznego</t>
  </si>
  <si>
    <t>* Remont i konserwacja przystanków komunikacji miejskiej</t>
  </si>
  <si>
    <t>Wydatki bieżące</t>
  </si>
  <si>
    <t>Wydatki majątkowe</t>
  </si>
  <si>
    <t xml:space="preserve"> 3. Wydatki majątkowe</t>
  </si>
  <si>
    <t>1. Bieżące utrzymanie przedszkoli</t>
  </si>
  <si>
    <t>* nauka pływania w przedszkolach</t>
  </si>
  <si>
    <t>3. Wydatki majątkowe</t>
  </si>
  <si>
    <t>Zasiłki stałe</t>
  </si>
  <si>
    <t xml:space="preserve">zadania własne </t>
  </si>
  <si>
    <t xml:space="preserve">Zarząd Nieruchomości Miejskich </t>
  </si>
  <si>
    <t>Obsługa papierów wartościowych, kredytów i pożyczek jednostek samorządu terytorialnego</t>
  </si>
  <si>
    <t>Zadania w zakresie przeciwdziałania przemocy w rodzinie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</si>
  <si>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</si>
  <si>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1. Bieżące utrzymanie szkół podstawowych</t>
  </si>
  <si>
    <t>Jednostki specjalistycznego poradnictwa, mieszkania chronione i ośrodki interwencji kryzysowej</t>
  </si>
  <si>
    <t>Usługi opiekuńcze i specjalistyczne usługi opiekuńcze</t>
  </si>
  <si>
    <t>PP nr 8</t>
  </si>
  <si>
    <t>*zadania zlecone - przyłącze do Internetu</t>
  </si>
  <si>
    <t>Urzędy naczelnych organów władzy państwowej, kontroli i ochrony prawa</t>
  </si>
  <si>
    <t>wydatki na przeciwdziałanie narkomanii DDPS</t>
  </si>
  <si>
    <t>Zadania w zakresie kultury fizycznej</t>
  </si>
  <si>
    <t>Kultura fizyczna</t>
  </si>
  <si>
    <t>Straż gminna (miejska)</t>
  </si>
  <si>
    <t>Hala sportowa, stadion, kryta pływania i kąpielisko odkryte</t>
  </si>
  <si>
    <t>Wpływy i wydatki związane z gromadzeniem środków z opłat 
i kar za korzystanie ze środowiska</t>
  </si>
  <si>
    <t>* Operaty szacunkowe, podziały geodezyjne itp.</t>
  </si>
  <si>
    <t>* Podatek od nieruchomości</t>
  </si>
  <si>
    <t>* Zadania zlecone (USC, OC, ewidencja ludności, wydawanie dowodów osobistych, ewidencja dział. gosp.)  - wynagrodzenia i pochodne od wynagrodzeń</t>
  </si>
  <si>
    <t>Utrzymanie świetlic</t>
  </si>
  <si>
    <t>* Stypendia dla uczniów za wyniki w nauce i osiągnięcia sportowe</t>
  </si>
  <si>
    <t>* Stypendia socjalne i zasiłki dla uczniów</t>
  </si>
  <si>
    <t>* Opłaty związane z wprowadzeniem ścieków opadowych do wód lub ziemi</t>
  </si>
  <si>
    <t>* Koszty energii i konserwacji</t>
  </si>
  <si>
    <t xml:space="preserve">* Realizacja zadań z zakresu utrzymania terenów zieleni na terenie gminy </t>
  </si>
  <si>
    <t xml:space="preserve">* Dotacja dla Brzeskiego Centrum Kultury </t>
  </si>
  <si>
    <t>* Organizacja imprez kulturalnych - Dni Księstwa Brzeskiego</t>
  </si>
  <si>
    <t>* Organizacja festiwali i imprez kulturalnych</t>
  </si>
  <si>
    <t>* Remont budynku BCK</t>
  </si>
  <si>
    <t xml:space="preserve">* Dotacja dla MBP </t>
  </si>
  <si>
    <t>*MOSiR - realizacja Wieloletniego Programu Szkolenia Sportowego Dzieci i Młodzieży</t>
  </si>
  <si>
    <t xml:space="preserve">* Remonty nawierzchni dróg gminnych i mostów  </t>
  </si>
  <si>
    <t>* Bieżące utrzymanie cmentarzy</t>
  </si>
  <si>
    <t>* Diety i delegacje radnych</t>
  </si>
  <si>
    <t>* Wynagrodzenia bezosobowe</t>
  </si>
  <si>
    <t>* Inne wydatki rzeczowe</t>
  </si>
  <si>
    <t>* Opinie prawne na potrzeby Rady Miejskiej</t>
  </si>
  <si>
    <t>* Wynagrodzenia i pochodne od wynagrodzeń pracowników UM</t>
  </si>
  <si>
    <t>* Bieżące utrzymanie Ratusza i budynku przy ul. Robotniczej</t>
  </si>
  <si>
    <t>* Zakup energii elektrycznej dla obiektów Gminy Miasto Brzeg</t>
  </si>
  <si>
    <t>Urzędy naczelnych organów władzy państwowej, kontroli i ochrony prawa oraz sądownictwa</t>
  </si>
  <si>
    <t>Zarządzanie kryzysowe</t>
  </si>
  <si>
    <t>* Wynagrodzenia i pochodne od wynagrodzeń</t>
  </si>
  <si>
    <t>* Pozostałe wydatki bieżące</t>
  </si>
  <si>
    <t>* Odsetki od kredytów i pożyczek długoterminowych, obsługa obligacji</t>
  </si>
  <si>
    <t>* Projekt "Mini Akademia Przedszkolaka"</t>
  </si>
  <si>
    <t>Prowadzenie Punktu Pomocy Kryzysowej dla Ofiar Przemocy- DDPS</t>
  </si>
  <si>
    <t>* Utrzymanie i remont szaletów miejskich</t>
  </si>
  <si>
    <t>* Letnie i zimowe oczyszczanie ulic</t>
  </si>
  <si>
    <t>* Kontynuowanie programu pilotażowego dotyczącego zapobiegania zanieczyszczeniu ulic, placów i terenów zieleni przez zwierzęta</t>
  </si>
  <si>
    <t>* Usuwanie zwłok padłych bezdomnych zwierząt z terenów gminy</t>
  </si>
  <si>
    <t>* Bieżace utrzymanie terenów zielonych</t>
  </si>
  <si>
    <t>* Prace remontowe na terenach zieleni</t>
  </si>
  <si>
    <t>* Utrzymanie Parku Wolności</t>
  </si>
  <si>
    <t>Konserwacja majątku energetycznego TAURON EnergiaPro</t>
  </si>
  <si>
    <t>Konserwacja i usuwanie dewastacji majątku energetycznego Gminy</t>
  </si>
  <si>
    <t>* Zakup, montaż i demontaż oświetlenia świątecznego miasta</t>
  </si>
  <si>
    <t>* Opłata za zużytą wodę na cele przeciwpożarowe</t>
  </si>
  <si>
    <t>* Dotacja na utrzymanie Punktu Informacji Turystycznej</t>
  </si>
  <si>
    <t>* Dotacja na realizację zadań publicznych z zakresu kultury fizycznej, sportu i turystyki przez podmioty niezaliczane do sektora finansów publicznych</t>
  </si>
  <si>
    <t xml:space="preserve">* Odpis na zakładowy fundusz świadczeń socjalnych dla nauczycieli emerytów i rencistów                   </t>
  </si>
  <si>
    <t>* Roczny abonament pakietów programów komputerowych "Zintegrowany system zarządzania oświatą"</t>
  </si>
  <si>
    <t>* Inkaso opłaty skarbowej - wynagrodzenia</t>
  </si>
  <si>
    <t>* Dotacja z budżetu dla punktu przedszkolnego "Akademia Skrzata" (BO)</t>
  </si>
  <si>
    <t xml:space="preserve">* Opłata czynszu za nieruchomości PP nr 8 </t>
  </si>
  <si>
    <t>* Dokształcanie i doskonalenie nauczycieli - szkoły, gimnazja, przedszkola</t>
  </si>
  <si>
    <t>* Środki przy BO na dokształcanie i doskonalenie nauczycieli (szkoły, gimnazja, przedszkola) - doradztwo metodyczne</t>
  </si>
  <si>
    <t>Prowadzenie poradnictwa i interwencji w zakresie przeciwdziałania przemocy w rodzinie (DDPS)</t>
  </si>
  <si>
    <t>Zadania własne - program "Pomoc państwa w zakresie dożywiania"</t>
  </si>
  <si>
    <t>* Zbiórka przeterminowanych i niewykorzystanych lekarstw</t>
  </si>
  <si>
    <t>* Podatki od nieruchomości położonych na terenie Gminy Skarbimierz (Pawłów)</t>
  </si>
  <si>
    <t>Zakup energii</t>
  </si>
  <si>
    <t>* Dotacja na dofinansowanie pobytu dzieci mieszkańców Gminy Brzeg 
w przedszkolu w Gminie Olszanka</t>
  </si>
  <si>
    <t>Dowożenie niepełnosprawnych uczniów do szkół  i opieka w drodze 
do szkoły</t>
  </si>
  <si>
    <t>* Opłaty za użytkowanie wieczyste</t>
  </si>
  <si>
    <t>* Organizacja imprez promujących Gminę Miasto Brzeg</t>
  </si>
  <si>
    <t xml:space="preserve"> w zł</t>
  </si>
  <si>
    <t>* Dotacja celowa na dofinansowanie zadań z zakresu turystyki zleconych do realizacji stowarzyszeniom</t>
  </si>
  <si>
    <t>* ZNM - zakup inwentaryzacji budowlanych dla wspólnot mieszkaniowych</t>
  </si>
  <si>
    <t xml:space="preserve">* Opłaty sądowe za wpisy w księgach wieczystych, opłaty za odpisy z ksiąg i inne </t>
  </si>
  <si>
    <t>* Wydatki związane z promocją miasta</t>
  </si>
  <si>
    <t>* Dotacja celowa na dofinansowanie zadań z zakresu edukacji zleconych do realizacji stowarzyszeniom</t>
  </si>
  <si>
    <t>* Zadanie zlecone: koszty prowadzenia stałego rejestru wyborców - wynagrodzenia i pochodne od wynagr.</t>
  </si>
  <si>
    <t>* Nagrody PRIMUS INTER PARES (BO)</t>
  </si>
  <si>
    <t>* "Opolska e-szkoła, szkołą ku przyszłości (BO)</t>
  </si>
  <si>
    <t>* Roczny abonament "Jednorazowy dodatek uzupełniający Optivum"</t>
  </si>
  <si>
    <t>Rodziny zastępcze</t>
  </si>
  <si>
    <t>zadania własne - świadczenia społeczne</t>
  </si>
  <si>
    <t>* zadania zlecone - świadczenia społeczne - wynagrodzenie za sprawowanie opieki</t>
  </si>
  <si>
    <t>* Realizacja systemu gospodarowania odpadami komunalnymi na terenie miasta od 1 lipca 2013 r.</t>
  </si>
  <si>
    <t>* Wykonanie zadań w ramach realizacji Planu gospodarki odpadami, Programu ochrony środowiska oraz Programu edukacji ekologicznej</t>
  </si>
  <si>
    <t>* Dotacja dla BCK na zakup wyposażenia</t>
  </si>
  <si>
    <t>* Pomoc finansowa w formie dotacji dla Powiatu Brzeskiego na utworzenie stanowiska pracy ds. ochrony zabytków</t>
  </si>
  <si>
    <t>* Budowa drogi wewnętrznej ul. Tęczowa - II etap</t>
  </si>
  <si>
    <t>Zadania w zakresie upowszechniania turystyki</t>
  </si>
  <si>
    <t>Plan</t>
  </si>
  <si>
    <t>01.01.2013 r.</t>
  </si>
  <si>
    <t>Wykonanie</t>
  </si>
  <si>
    <t>Wyk.</t>
  </si>
  <si>
    <t>%</t>
  </si>
  <si>
    <t>Zadania zlecone - zwrot podatku akcyzowego</t>
  </si>
  <si>
    <t>* Koszty sądowe związane z pozwami o zwrot bonifikaty udzielonej przy wykupie lokali mieszkalnych</t>
  </si>
  <si>
    <t>* Zabezpieczenie akcji ratowniczej w czasie zagrożenia powodziowego</t>
  </si>
  <si>
    <t>Różne rozliczenia finansowe</t>
  </si>
  <si>
    <t>* różne rozliczenia finansowe</t>
  </si>
  <si>
    <t>Wpływy do wyjaśnienia</t>
  </si>
  <si>
    <t>* odsetki doliczone do rachunków bankowych i mylne wpływy UM</t>
  </si>
  <si>
    <t>* Zwrot kosztów za uczęszczanie dzieci z Gminy Brzeg do niepublicznych przedszkoli w Gminie Oława i Gminie Siechnice</t>
  </si>
  <si>
    <t>dotacje (zwrot dotacji)</t>
  </si>
  <si>
    <t>* Zadania zlecone - Program wspierania osób pobierających świadczenie pielęgnacyjne</t>
  </si>
  <si>
    <t>Wydaki majątkowe</t>
  </si>
  <si>
    <t>* Reggae Fest Brzeg 2013</t>
  </si>
  <si>
    <t>* Zadania własne (USC, OC, ewidencja ludności, wydawanie dowodów osobistych, ewidencja dział. gosp.)</t>
  </si>
  <si>
    <t>w tym: wydatki bieżące na realizację zadań własnych z zakresu zarządzania kryzysowego</t>
  </si>
  <si>
    <t>* Odwodnienie, rowy melioracyjne - dalsza realizacja w II poł. 2013 r.</t>
  </si>
  <si>
    <t>* Zwrot nadpłaconej dotacji celowej otrzymanej jako zwrot kosztów za pobyt dzieci mieszkańców innych Gmin w przedszkolu prowadzonym przez Gminę Brzeg</t>
  </si>
  <si>
    <t>30.09.2013 r.</t>
  </si>
  <si>
    <t>Przewidywane</t>
  </si>
  <si>
    <t>Projekt</t>
  </si>
  <si>
    <t>wykonanie</t>
  </si>
  <si>
    <t>2013 r. w zł</t>
  </si>
  <si>
    <t>2014 r.</t>
  </si>
  <si>
    <t>w zł</t>
  </si>
  <si>
    <t>* Utrzymanie ulic w tym: remonty cząstkowe, oznakowanie pionowe i poziome, mikrodywaniki, likwidacja barier architektonicznych</t>
  </si>
  <si>
    <t>* Ubezpieczenie OC dróg gminnych</t>
  </si>
  <si>
    <t>* Opracowanie ekspertyz i analiz, w tym pomiary natężenia ruchu na drogach gminnych</t>
  </si>
  <si>
    <t>* Rewitalizacja przestrzeni miejskiej centrum miasta Brzeg</t>
  </si>
  <si>
    <t>* Zakup i wymiana słupków przystankowych</t>
  </si>
  <si>
    <t>* Przebudowa ul. Konopnickiej w Brzegu</t>
  </si>
  <si>
    <t>* Przebudowa ul. Słowiańskiej w Brzegu</t>
  </si>
  <si>
    <t>* Budowa dróg na osiedlu mieszkaniowym TIVOLI w rejonie ulic Wrocławska-Zielona w Brzegu</t>
  </si>
  <si>
    <t>* Budowa dróg na osiedlu mieszkaniowym TIVOLI w rejonie ulic Lompy-Zielona w Brzegu</t>
  </si>
  <si>
    <t>* Budowa drogi wewnętrznej ul. Toruńska - II etap</t>
  </si>
  <si>
    <t>* Odszkodowanie na rzecz osób fizycznych w tym m.in. z tytułu zajęcia nieruchomości</t>
  </si>
  <si>
    <t>* Koszty sądowe związane ze sprawami o zasiedzenie nieruchomości</t>
  </si>
  <si>
    <t>* Koszty sądowe związane ze sprawami nabycia spadku</t>
  </si>
  <si>
    <t>* Zmiana miejscowego planu zagospodarowania przestrzennego dla obszaru ograniczonego ulicami Oławską i Wrocławską oraz od wschodu projektowaną ulicą</t>
  </si>
  <si>
    <t>* Gminna Komisja Urbanistyczno - Architektoniczna - wynagrodzenia i pochodne</t>
  </si>
  <si>
    <t>* Wydatki związane z procesem sprzedaży akcji ECO S.A.</t>
  </si>
  <si>
    <t>* Komputeryzacja ZNM</t>
  </si>
  <si>
    <t>* ZNM - wykonanie projektu na przebudowę budynku ul. Wolności 14 z przeznaczeniem na pomieszczenia tymczasowe, socjalne, zamienne</t>
  </si>
  <si>
    <t>* Zmiana miejscowego planu zagospodarowania przestrzennego dla obszaru ograniczonego od północnego zachodu ul. Krakusa i granicą miasta, od północnego i południowego wschodu granicą miasta i od południowego zachodu linią brzegową rzeki Odry i ulicami: Krzyszowica i Rybacką</t>
  </si>
  <si>
    <t>* Zmiana miejscowego planu zagospodarowania przestrzennego dla obszaru w rejonie ulicy Małujowickiej</t>
  </si>
  <si>
    <t xml:space="preserve">* Analizy, ekspertyzy, opinie </t>
  </si>
  <si>
    <t>* Ocena aktualności opracowań planistycznych</t>
  </si>
  <si>
    <t>* Rozbudowa cmentarza przy ul. Starobrzeskiej w Brzegu</t>
  </si>
  <si>
    <t>* Budowa chodnika na cmetarzu przy ul. Ks. Makarskiego w Brzegu</t>
  </si>
  <si>
    <t>* Wymiana instalacji elektrycznej w Domu Przedpogrzebowym</t>
  </si>
  <si>
    <t>* Zadania realizowane na podstawie porozumień z org. admin. rządowej (utrzymanie cmentarzy wojennych)</t>
  </si>
  <si>
    <t>* Naprawa alejek szutrowych i asfaltowych na cmentarzu ul. Starobrzeska</t>
  </si>
  <si>
    <t>* Rozbudowa cmentarza przy ul. Starobrzeskiej w Brzegu - II etap</t>
  </si>
  <si>
    <t xml:space="preserve">* Remonty bieżące w Ratuszu i budynku przy ul. Robotniczej </t>
  </si>
  <si>
    <t xml:space="preserve">* Remont budynku A Urzędu w Brzegu przy ul. Robotniczej 12 </t>
  </si>
  <si>
    <t xml:space="preserve">* Remont pomieszczenia biurowego na parterze budynku B przy ul. Robotniczej 12 </t>
  </si>
  <si>
    <t>* Nagrody Burmistrza dla Jubilatów - USC</t>
  </si>
  <si>
    <t>* Monitorowanie trwałości projektów</t>
  </si>
  <si>
    <t>* Usługi doradztwa prawnego - rozliczenie VAT</t>
  </si>
  <si>
    <t>* Usługi prawnicze w zakresie zwiększenia wpływów z tytułu opłaty targowej</t>
  </si>
  <si>
    <t>* Komputeryzacja Urzędu Miasta</t>
  </si>
  <si>
    <t>* Zmiana sposobu użytkowania części korytarza na pomieszczenie biurowe na II piętrze budynku "B" Urzędu przy ul. Robotniczej 12</t>
  </si>
  <si>
    <t>* Przygotowanie dokumentacji (np. studia wykonalności projektów)</t>
  </si>
  <si>
    <t>* Rewitalizacja zabytkowych obiektów użyteczności publicznej</t>
  </si>
  <si>
    <t>* Likwidacja barier architektonicznych w budynku Urzędu Miasta</t>
  </si>
  <si>
    <t>* Zadania zlecone</t>
  </si>
  <si>
    <t xml:space="preserve">* Zadania własne </t>
  </si>
  <si>
    <t xml:space="preserve">* Zadania własne - wydatki bieżące w tym m.in.utrzymanie i konserwacja pomieszczeń magazynu i sprzętu OC, konkurs dla dzieci i młodzieży z zakresu obrony cywilnej </t>
  </si>
  <si>
    <r>
      <t xml:space="preserve">* </t>
    </r>
    <r>
      <rPr>
        <sz val="12"/>
        <rFont val="Arial CE"/>
        <family val="0"/>
      </rPr>
      <t>Naprawa i wymiana mechanicznych urządzeń sterujących syrenami na elektroniczne urządzenia</t>
    </r>
  </si>
  <si>
    <t>* Realizacja programów bezpieczeństwa dzieci i młodzieży "Bezpieczne wakacje", "Bezpieczne ferie" - patrole akwenów wodnych"</t>
  </si>
  <si>
    <t xml:space="preserve">* Remonty bieżące w szkołach i realizacja zaleceń pokontrolnych (BO) </t>
  </si>
  <si>
    <t>* Dofinansowanie programów z funduszy strukturalnych UE - wkład własny (BO)</t>
  </si>
  <si>
    <t>* Wykonanie instalacji p.poż w PSP nr 1</t>
  </si>
  <si>
    <t>* Wykonanie instalacji p.poż w PSP nr 3</t>
  </si>
  <si>
    <t>* Wykonanie instalacji p.poż w PSP nr 5</t>
  </si>
  <si>
    <t>* Remonty bieżące w szkołach (BI)</t>
  </si>
  <si>
    <t>* Remont dachu w PSP nr 1 (BI)</t>
  </si>
  <si>
    <t>* Dokumentacje projektowe dla budynków PSP</t>
  </si>
  <si>
    <t>* Dotacja podmiotowa dla Niepublicznej Szkoły Podstawowej im. Św. Tomasza z Akwinu</t>
  </si>
  <si>
    <t>* Remonty bieżące w przedszkolach i realizacja zaleceń pokontrolnych (BO)</t>
  </si>
  <si>
    <t>* Dotacja na dofinansowanie pobytu dzieci mieszkańców Gminy Brzeg 
w przedszkolu w Gminie Skarbimierz</t>
  </si>
  <si>
    <t xml:space="preserve">* Bieżące wydatki, w tym: zakup kwiatów i poczęstunku z okazji DEN, wręczenia nagrody Burmistrza, nadania stopnia itp. (BO) </t>
  </si>
  <si>
    <t>* Kontynuacja oddziałów po programie POKL "Mini Akademia Przedszkolaka" w PP nr 1, 5, 6, 10 - wynagrodzenia i pochodne od wynagrodzeń (BO)</t>
  </si>
  <si>
    <t>* Kontynuacja oddziału po programie POKL "Zielone przedszkole - Radosny świat malucha" w PP nr 3 - wynagrodzenia i pochodne od wynagr.</t>
  </si>
  <si>
    <t>* Remont instalacji wentylacyjnej w PP nr 3 (BI)</t>
  </si>
  <si>
    <r>
      <t xml:space="preserve">* </t>
    </r>
    <r>
      <rPr>
        <b/>
        <sz val="12"/>
        <rFont val="Arial CE"/>
        <family val="0"/>
      </rPr>
      <t>PP nr 4</t>
    </r>
    <r>
      <rPr>
        <sz val="12"/>
        <rFont val="Arial CE"/>
        <family val="0"/>
      </rPr>
      <t xml:space="preserve"> - Budowa wewnętrznego dźwigu towarowego w PP nr 4</t>
    </r>
  </si>
  <si>
    <r>
      <t xml:space="preserve">* </t>
    </r>
    <r>
      <rPr>
        <b/>
        <sz val="12"/>
        <rFont val="Arial CE"/>
        <family val="0"/>
      </rPr>
      <t>PP nr 7</t>
    </r>
    <r>
      <rPr>
        <sz val="12"/>
        <rFont val="Arial CE"/>
        <family val="0"/>
      </rPr>
      <t xml:space="preserve"> - Zakup kuchni gazowej w PP nr 7 Integracyjnym </t>
    </r>
  </si>
  <si>
    <r>
      <t xml:space="preserve">* </t>
    </r>
    <r>
      <rPr>
        <b/>
        <sz val="12"/>
        <rFont val="Arial CE"/>
        <family val="0"/>
      </rPr>
      <t>PP nr 8</t>
    </r>
    <r>
      <rPr>
        <sz val="12"/>
        <rFont val="Arial CE"/>
        <family val="0"/>
      </rPr>
      <t xml:space="preserve"> - Zakup okapów do kuchni w PP nr 8</t>
    </r>
  </si>
  <si>
    <r>
      <t xml:space="preserve">* </t>
    </r>
    <r>
      <rPr>
        <b/>
        <sz val="12"/>
        <rFont val="Arial CE"/>
        <family val="0"/>
      </rPr>
      <t>PP nr 10</t>
    </r>
    <r>
      <rPr>
        <sz val="12"/>
        <rFont val="Arial CE"/>
        <family val="0"/>
      </rPr>
      <t xml:space="preserve"> - Wykonanie instalacji p.poż. w budynku PP nr 10 - etap I</t>
    </r>
  </si>
  <si>
    <t>* Dotacja z budżetu dla punktu przedszkolnego "Akademia Skrzata Bis" (BO)</t>
  </si>
  <si>
    <r>
      <t xml:space="preserve">* </t>
    </r>
    <r>
      <rPr>
        <b/>
        <sz val="12"/>
        <rFont val="Arial CE"/>
        <family val="0"/>
      </rPr>
      <t>PP nr 10</t>
    </r>
    <r>
      <rPr>
        <sz val="12"/>
        <rFont val="Arial CE"/>
        <family val="0"/>
      </rPr>
      <t xml:space="preserve"> - Wykonanie instalacji p.poż. w budynku PP nr 10 - etap II</t>
    </r>
  </si>
  <si>
    <t>* Remonty bieżące w przedszkolach (BI)</t>
  </si>
  <si>
    <t>* Malowanie pomieszczeń PP nr 7  (BI)</t>
  </si>
  <si>
    <t>* Dokumentacje projektowe dla budynków PP (BI)</t>
  </si>
  <si>
    <t>* Dokumentacje projektowe dla budynków gimnazjów i ekspertyzy (BI)</t>
  </si>
  <si>
    <t>* Remonty bieżące w gimnazjach i realizacja zaleceń pokontrolnych BO</t>
  </si>
  <si>
    <t>Inne formy wychowania przedszkolnego</t>
  </si>
  <si>
    <t>Przebudowa instalacji deszczowej w PG nr 3</t>
  </si>
  <si>
    <t>* Remont nawierzchni boiska wielofunkcyjnego przy Orliku w ZS nr 1 z OS</t>
  </si>
  <si>
    <t>* Remonty bieżące w gimnazjach (BI)</t>
  </si>
  <si>
    <t xml:space="preserve">* Bieżące wydatki, w tym: zakup kwiatów i poczęstunku z okazji DEN, wręczenia nagrody Burmistrza, nadania stopnia, przewóz delegacji uczniów, nagrody na konkursy przedmiotowe itp. (BO) </t>
  </si>
  <si>
    <t xml:space="preserve">* Bieżące wydatki, w tym zakup kwiatów z okazji uroczystości np. nadania awansu zawod., wręczenia nagrody Burmistrza, usługi gastronomiczne, nagrody na konkursy przedmiotowe itp. (BO) </t>
  </si>
  <si>
    <t>* Zadania własne - dotacja z MEN na zakup podręczników i przyborów szkolnych dla uczniów romskich - Program na rzecz społeczności romskiej w Polsce</t>
  </si>
  <si>
    <t>* Monitorowanie trwałości projektów (BI)</t>
  </si>
  <si>
    <t xml:space="preserve">Wynagrodzenia i pochodne (prace komisji egzaminacyjnych) </t>
  </si>
  <si>
    <t xml:space="preserve">dotacja dla Powiatu Brzeskiego </t>
  </si>
  <si>
    <t>zadania zlecone - MOPS - świadczenia</t>
  </si>
  <si>
    <t>* Projekt "Twój krok do lepszego jutra"</t>
  </si>
  <si>
    <t xml:space="preserve">* Zadania zlecone - dofinansowanie z UW zakupu ubezpieczenia uczniów romskich od następstw nieszczęśliwych wypadków </t>
  </si>
  <si>
    <t>* Wyprawka szkolna - rządowy program pomocy uczniom</t>
  </si>
  <si>
    <t xml:space="preserve">* Zadania zlecone - zakup podręczników i przyborów szkolnych dla uczniów romskich - Program na rzecz społeczności romskiej w Polsce </t>
  </si>
  <si>
    <t xml:space="preserve">* Budowa przyłącza kanalizacji deszczowej odwadniającej teren przy drodze dojazdowej przy przystani turystycznej w Brzegu </t>
  </si>
  <si>
    <t>* Zakup oprogramowania i sprzętu do prowadzenia opłat za gospodarowanie odpadami komunalnymi</t>
  </si>
  <si>
    <t xml:space="preserve">* Remont koszy przyulicznych </t>
  </si>
  <si>
    <t>* Przebudowa szaletu publicznego przy ul. Piastowskiej</t>
  </si>
  <si>
    <t xml:space="preserve">* Odbudowa stawu rekreacyjnego w Parku Wolności w Brzegu - etap II </t>
  </si>
  <si>
    <t>* Zakup urządzeń zabawowych w celu doposażenia istniejących placów zabaw</t>
  </si>
  <si>
    <t xml:space="preserve">* Zadania wynikające z programu ochrony środowiska w zakresie zieleni miejskiej </t>
  </si>
  <si>
    <t>* Przebudowa placów zabaw zlokalizowanych na terenach zieleni miejskiej w Brzegu</t>
  </si>
  <si>
    <t>* Wykonanie kraty na Rzece Kościelna przed stawem w Parku Wolności</t>
  </si>
  <si>
    <t xml:space="preserve">* Urządzenie izolatki dla zwierząt na terenie przytuliska wraz z ogrodzeniem </t>
  </si>
  <si>
    <t>* Wykonanie przebudowy budynku wraz z niezbędnymi instalacjami oraz systemu wodno-kanalizacyjnego na terenie przytuliska</t>
  </si>
  <si>
    <t xml:space="preserve">* Nagrody dla twórców i animatorów z dziedziny kultury </t>
  </si>
  <si>
    <t>w tym: Remont pokrycia dachu wraz z ociepleniem stropodachu budynku hali sportowej przy ul. Oławskiej 2a w Brzegu</t>
  </si>
  <si>
    <t>MOSIR - Wykonanie siłowni plenerowej i innych urządzeń rekreacyjnych wraz z elementami małej architektury -</t>
  </si>
  <si>
    <t xml:space="preserve">* Nagrody i wyróżnienia dla trenerów i sportowców </t>
  </si>
  <si>
    <t>01008</t>
  </si>
  <si>
    <t>* Termomodernizacja budynków użyteczności publicznej na terenie Gminy Brzeg</t>
  </si>
  <si>
    <r>
      <t xml:space="preserve">* </t>
    </r>
    <r>
      <rPr>
        <b/>
        <sz val="12"/>
        <rFont val="Arial CE"/>
        <family val="0"/>
      </rPr>
      <t>PP nr 4</t>
    </r>
    <r>
      <rPr>
        <sz val="12"/>
        <rFont val="Arial CE"/>
        <family val="0"/>
      </rPr>
      <t xml:space="preserve"> - Wykonanie instalacji p.poż. w budynku PP nr 4 - I etap</t>
    </r>
  </si>
  <si>
    <t>* Czyszczenie i konserwacja pomnika papieża Jana Pawła II</t>
  </si>
  <si>
    <r>
      <t xml:space="preserve">* </t>
    </r>
    <r>
      <rPr>
        <b/>
        <sz val="12"/>
        <rFont val="Arial CE"/>
        <family val="0"/>
      </rPr>
      <t>PP nr 1</t>
    </r>
    <r>
      <rPr>
        <sz val="12"/>
        <rFont val="Arial CE"/>
        <family val="0"/>
      </rPr>
      <t xml:space="preserve"> - Zakup patelni elektrycznej </t>
    </r>
  </si>
  <si>
    <r>
      <t xml:space="preserve">* </t>
    </r>
    <r>
      <rPr>
        <b/>
        <sz val="12"/>
        <rFont val="Arial CE"/>
        <family val="0"/>
      </rPr>
      <t>PP nr 7</t>
    </r>
    <r>
      <rPr>
        <sz val="12"/>
        <rFont val="Arial CE"/>
        <family val="0"/>
      </rPr>
      <t xml:space="preserve"> - Zakup obieraczki do jarzyn</t>
    </r>
  </si>
  <si>
    <t>w tym m. in.: wynagrodzenia i pochodne od wynagrodzeń</t>
  </si>
  <si>
    <t>* Odbudowa zbiornika wodnego wraz z mostkiem na terenie Parku Centralnego od strony ul. Piastowskiej</t>
  </si>
  <si>
    <t xml:space="preserve">* Przebudowa ciągów pieszych na terenie Plant miejskich w Brzegu </t>
  </si>
  <si>
    <t>* Dotacja dla podmiotów niezaliczanych do sektora finansów publicznych na kulturę i sztukę</t>
  </si>
  <si>
    <t>* Budowa fontanny z tymczasnowym usytuowaniem rzeźby "Grupa Trytona"</t>
  </si>
  <si>
    <t>Melioracje wodne</t>
  </si>
  <si>
    <t>* Przebudowa drogi wewnętrznej i terenu placu manewrowego przy ul. Piastowskiej w Brzegu</t>
  </si>
  <si>
    <t>* Pozstałe wydatki bieżące</t>
  </si>
  <si>
    <t>* Budowa, przebudowa i modernizacja wału przeciwpowodziowego rzeki Odry "Rataje" w mieście Brzegu - dotacja do SW</t>
  </si>
  <si>
    <t xml:space="preserve">                  MATERIAŁ INFORMACYJNY - PLAN WYDATKÓW BUDŻETOWYCH NA 2014 ROK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</si>
</sst>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zł&quot;"/>
    <numFmt numFmtId="172" formatCode="#,##0.0\ _z_ł"/>
    <numFmt numFmtId="173" formatCode="[$$-C09]#,##0"/>
    <numFmt numFmtId="174" formatCode="#,##0.00\ _z_ł"/>
    <numFmt numFmtId="175" formatCode="0.0%"/>
    <numFmt numFmtId="176" formatCode="#,##0.0\ &quot;zł&quot;"/>
    <numFmt numFmtId="177" formatCode="_-* #,##0.0\ _z_ł_-;\-* #,##0.0\ _z_ł_-;_-* &quot;-&quot;?\ _z_ł_-;_-@_-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7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174" fontId="2" fillId="0" borderId="5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74" fontId="2" fillId="0" borderId="9" xfId="0" applyNumberFormat="1" applyFont="1" applyBorder="1" applyAlignment="1">
      <alignment/>
    </xf>
    <xf numFmtId="174" fontId="2" fillId="0" borderId="5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174" fontId="1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74" fontId="1" fillId="0" borderId="5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174" fontId="2" fillId="0" borderId="7" xfId="0" applyNumberFormat="1" applyFont="1" applyBorder="1" applyAlignment="1">
      <alignment/>
    </xf>
    <xf numFmtId="174" fontId="3" fillId="0" borderId="5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174" fontId="2" fillId="0" borderId="1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174" fontId="1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4" fontId="2" fillId="2" borderId="7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174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74" fontId="1" fillId="0" borderId="11" xfId="0" applyNumberFormat="1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4" fontId="1" fillId="0" borderId="13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174" fontId="1" fillId="0" borderId="0" xfId="0" applyNumberFormat="1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174" fontId="4" fillId="0" borderId="5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wrapText="1"/>
    </xf>
    <xf numFmtId="174" fontId="4" fillId="0" borderId="5" xfId="0" applyNumberFormat="1" applyFont="1" applyBorder="1" applyAlignment="1">
      <alignment/>
    </xf>
    <xf numFmtId="174" fontId="1" fillId="0" borderId="9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74" fontId="3" fillId="0" borderId="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2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 wrapText="1"/>
    </xf>
    <xf numFmtId="174" fontId="3" fillId="0" borderId="5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2" fillId="0" borderId="3" xfId="0" applyNumberFormat="1" applyFont="1" applyBorder="1" applyAlignment="1">
      <alignment/>
    </xf>
    <xf numFmtId="0" fontId="1" fillId="0" borderId="16" xfId="0" applyFont="1" applyBorder="1" applyAlignment="1">
      <alignment horizontal="left" wrapText="1"/>
    </xf>
    <xf numFmtId="39" fontId="2" fillId="0" borderId="9" xfId="0" applyNumberFormat="1" applyFont="1" applyBorder="1" applyAlignment="1">
      <alignment/>
    </xf>
    <xf numFmtId="39" fontId="2" fillId="0" borderId="11" xfId="0" applyNumberFormat="1" applyFont="1" applyBorder="1" applyAlignment="1">
      <alignment/>
    </xf>
    <xf numFmtId="39" fontId="2" fillId="0" borderId="5" xfId="0" applyNumberFormat="1" applyFont="1" applyBorder="1" applyAlignment="1">
      <alignment/>
    </xf>
    <xf numFmtId="174" fontId="2" fillId="0" borderId="9" xfId="0" applyNumberFormat="1" applyFont="1" applyBorder="1" applyAlignment="1">
      <alignment/>
    </xf>
    <xf numFmtId="174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74" fontId="1" fillId="0" borderId="13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" xfId="0" applyFont="1" applyBorder="1" applyAlignment="1">
      <alignment wrapText="1" shrinkToFit="1"/>
    </xf>
    <xf numFmtId="0" fontId="1" fillId="0" borderId="6" xfId="0" applyFont="1" applyBorder="1" applyAlignment="1">
      <alignment horizontal="left" wrapText="1"/>
    </xf>
    <xf numFmtId="0" fontId="2" fillId="0" borderId="22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2" fillId="0" borderId="9" xfId="0" applyFont="1" applyBorder="1" applyAlignment="1">
      <alignment wrapText="1" shrinkToFit="1"/>
    </xf>
    <xf numFmtId="174" fontId="2" fillId="0" borderId="9" xfId="0" applyNumberFormat="1" applyFont="1" applyBorder="1" applyAlignment="1">
      <alignment horizontal="right"/>
    </xf>
    <xf numFmtId="17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74" fontId="1" fillId="0" borderId="5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74" fontId="1" fillId="0" borderId="0" xfId="0" applyNumberFormat="1" applyFont="1" applyBorder="1" applyAlignment="1">
      <alignment horizontal="right"/>
    </xf>
    <xf numFmtId="174" fontId="1" fillId="0" borderId="9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174" fontId="1" fillId="0" borderId="23" xfId="0" applyNumberFormat="1" applyFont="1" applyBorder="1" applyAlignment="1">
      <alignment/>
    </xf>
    <xf numFmtId="174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wrapText="1"/>
    </xf>
    <xf numFmtId="174" fontId="2" fillId="0" borderId="11" xfId="0" applyNumberFormat="1" applyFont="1" applyBorder="1" applyAlignment="1">
      <alignment/>
    </xf>
    <xf numFmtId="174" fontId="2" fillId="0" borderId="2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74" fontId="2" fillId="0" borderId="9" xfId="0" applyNumberFormat="1" applyFont="1" applyBorder="1" applyAlignment="1">
      <alignment horizontal="right"/>
    </xf>
    <xf numFmtId="0" fontId="1" fillId="0" borderId="11" xfId="0" applyFont="1" applyBorder="1" applyAlignment="1">
      <alignment vertical="top"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2" borderId="24" xfId="0" applyFont="1" applyFill="1" applyBorder="1" applyAlignment="1">
      <alignment/>
    </xf>
    <xf numFmtId="0" fontId="2" fillId="0" borderId="9" xfId="0" applyFont="1" applyBorder="1" applyAlignment="1">
      <alignment/>
    </xf>
    <xf numFmtId="174" fontId="2" fillId="0" borderId="8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" sqref="F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5"/>
  <sheetViews>
    <sheetView tabSelected="1" zoomScaleSheetLayoutView="100" workbookViewId="0" topLeftCell="A341">
      <selection activeCell="B310" sqref="B310"/>
    </sheetView>
  </sheetViews>
  <sheetFormatPr defaultColWidth="9.00390625" defaultRowHeight="12.75" customHeight="1"/>
  <cols>
    <col min="1" max="1" width="9.625" style="1" customWidth="1"/>
    <col min="2" max="2" width="48.875" style="1" customWidth="1"/>
    <col min="3" max="3" width="18.75390625" style="1" hidden="1" customWidth="1"/>
    <col min="4" max="4" width="19.25390625" style="1" customWidth="1"/>
    <col min="5" max="5" width="18.00390625" style="1" customWidth="1"/>
    <col min="6" max="6" width="10.375" style="1" customWidth="1"/>
    <col min="7" max="7" width="19.25390625" style="1" customWidth="1"/>
    <col min="8" max="8" width="19.75390625" style="1" customWidth="1"/>
    <col min="9" max="9" width="13.25390625" style="1" customWidth="1"/>
    <col min="10" max="16384" width="9.125" style="1" customWidth="1"/>
  </cols>
  <sheetData>
    <row r="1" spans="1:2" ht="19.5" customHeight="1">
      <c r="A1" s="134" t="s">
        <v>349</v>
      </c>
      <c r="B1" s="134"/>
    </row>
    <row r="2" spans="1:2" ht="19.5" customHeight="1">
      <c r="A2" s="134"/>
      <c r="B2" s="134"/>
    </row>
    <row r="3" ht="15.75" customHeight="1" thickBot="1"/>
    <row r="4" spans="1:9" ht="15.75">
      <c r="A4" s="2"/>
      <c r="B4" s="3"/>
      <c r="C4" s="4"/>
      <c r="D4" s="4"/>
      <c r="E4" s="4"/>
      <c r="F4" s="4"/>
      <c r="G4" s="4"/>
      <c r="H4" s="4"/>
      <c r="I4" s="4"/>
    </row>
    <row r="5" spans="1:9" ht="15.75">
      <c r="A5" s="5" t="s">
        <v>19</v>
      </c>
      <c r="B5" s="6" t="s">
        <v>0</v>
      </c>
      <c r="C5" s="7" t="s">
        <v>205</v>
      </c>
      <c r="D5" s="7" t="s">
        <v>205</v>
      </c>
      <c r="E5" s="7" t="s">
        <v>207</v>
      </c>
      <c r="F5" s="7" t="s">
        <v>208</v>
      </c>
      <c r="G5" s="7" t="s">
        <v>227</v>
      </c>
      <c r="H5" s="7" t="s">
        <v>228</v>
      </c>
      <c r="I5" s="7" t="s">
        <v>208</v>
      </c>
    </row>
    <row r="6" spans="1:9" ht="15.75">
      <c r="A6" s="5" t="s">
        <v>21</v>
      </c>
      <c r="B6" s="8"/>
      <c r="C6" s="7" t="s">
        <v>206</v>
      </c>
      <c r="D6" s="7" t="s">
        <v>226</v>
      </c>
      <c r="E6" s="7" t="s">
        <v>226</v>
      </c>
      <c r="F6" s="7" t="s">
        <v>209</v>
      </c>
      <c r="G6" s="7" t="s">
        <v>229</v>
      </c>
      <c r="H6" s="7" t="s">
        <v>231</v>
      </c>
      <c r="I6" s="7" t="s">
        <v>209</v>
      </c>
    </row>
    <row r="7" spans="1:9" ht="16.5" thickBot="1">
      <c r="A7" s="9"/>
      <c r="B7" s="10"/>
      <c r="C7" s="11" t="s">
        <v>186</v>
      </c>
      <c r="D7" s="11" t="s">
        <v>186</v>
      </c>
      <c r="E7" s="11" t="s">
        <v>186</v>
      </c>
      <c r="F7" s="11"/>
      <c r="G7" s="11" t="s">
        <v>230</v>
      </c>
      <c r="H7" s="11" t="s">
        <v>232</v>
      </c>
      <c r="I7" s="11"/>
    </row>
    <row r="8" spans="1:9" ht="15.75">
      <c r="A8" s="12">
        <v>1</v>
      </c>
      <c r="B8" s="12">
        <v>2</v>
      </c>
      <c r="C8" s="13">
        <v>3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</row>
    <row r="9" spans="1:9" ht="15.75">
      <c r="A9" s="14"/>
      <c r="B9" s="15"/>
      <c r="C9" s="16"/>
      <c r="D9" s="16"/>
      <c r="E9" s="16"/>
      <c r="F9" s="16"/>
      <c r="G9" s="16"/>
      <c r="H9" s="16"/>
      <c r="I9" s="16"/>
    </row>
    <row r="10" spans="1:9" ht="16.5" thickBot="1">
      <c r="A10" s="17" t="s">
        <v>20</v>
      </c>
      <c r="B10" s="18" t="s">
        <v>24</v>
      </c>
      <c r="C10" s="19">
        <f>SUM(C17)</f>
        <v>1500</v>
      </c>
      <c r="D10" s="19">
        <f>SUM(D12,D17)</f>
        <v>3882.17</v>
      </c>
      <c r="E10" s="19">
        <f>SUM(E12,E17)</f>
        <v>3049.75</v>
      </c>
      <c r="F10" s="19">
        <f>(E10/D10)*100</f>
        <v>78.55786840864774</v>
      </c>
      <c r="G10" s="19">
        <f>SUM(G12,G17)</f>
        <v>3882.17</v>
      </c>
      <c r="H10" s="19">
        <f>SUM(H12,H17)</f>
        <v>70356</v>
      </c>
      <c r="I10" s="19">
        <f>(H10/G10)*100</f>
        <v>1812.2853970846202</v>
      </c>
    </row>
    <row r="11" spans="1:9" ht="12.75" customHeight="1" thickTop="1">
      <c r="A11" s="20"/>
      <c r="B11" s="21"/>
      <c r="C11" s="22"/>
      <c r="D11" s="22"/>
      <c r="E11" s="22"/>
      <c r="F11" s="162"/>
      <c r="G11" s="22"/>
      <c r="H11" s="22"/>
      <c r="I11" s="22"/>
    </row>
    <row r="12" spans="1:9" ht="12.75" customHeight="1">
      <c r="A12" s="23" t="s">
        <v>334</v>
      </c>
      <c r="B12" s="155" t="s">
        <v>345</v>
      </c>
      <c r="C12" s="156"/>
      <c r="D12" s="156">
        <f>SUM(D13)</f>
        <v>0</v>
      </c>
      <c r="E12" s="156">
        <f>SUM(E13)</f>
        <v>0</v>
      </c>
      <c r="F12" s="142">
        <v>0</v>
      </c>
      <c r="G12" s="156">
        <f>SUM(G13)</f>
        <v>0</v>
      </c>
      <c r="H12" s="156">
        <f>SUM(H13)</f>
        <v>68856</v>
      </c>
      <c r="I12" s="137">
        <v>0</v>
      </c>
    </row>
    <row r="13" spans="1:9" ht="15.75">
      <c r="A13" s="14"/>
      <c r="B13" s="48" t="s">
        <v>103</v>
      </c>
      <c r="C13" s="26">
        <f>SUM(C15:C20)</f>
        <v>83000</v>
      </c>
      <c r="D13" s="26">
        <f>SUM(D15)</f>
        <v>0</v>
      </c>
      <c r="E13" s="26">
        <f>SUM(E15)</f>
        <v>0</v>
      </c>
      <c r="F13" s="141">
        <v>0</v>
      </c>
      <c r="G13" s="26">
        <f>SUM(G15)</f>
        <v>0</v>
      </c>
      <c r="H13" s="26">
        <f>SUM(H15)</f>
        <v>68856</v>
      </c>
      <c r="I13" s="141">
        <v>0</v>
      </c>
    </row>
    <row r="14" spans="1:9" ht="12.75" customHeight="1">
      <c r="A14" s="14"/>
      <c r="B14" s="48" t="s">
        <v>2</v>
      </c>
      <c r="C14" s="26"/>
      <c r="D14" s="26"/>
      <c r="E14" s="26"/>
      <c r="F14" s="26"/>
      <c r="G14" s="26"/>
      <c r="H14" s="26"/>
      <c r="I14" s="26"/>
    </row>
    <row r="15" spans="1:9" ht="45.75">
      <c r="A15" s="14"/>
      <c r="B15" s="47" t="s">
        <v>348</v>
      </c>
      <c r="C15" s="29">
        <v>80000</v>
      </c>
      <c r="D15" s="29">
        <v>0</v>
      </c>
      <c r="E15" s="29">
        <v>0</v>
      </c>
      <c r="F15" s="138">
        <v>0</v>
      </c>
      <c r="G15" s="29">
        <v>0</v>
      </c>
      <c r="H15" s="29">
        <v>68856</v>
      </c>
      <c r="I15" s="138">
        <v>0</v>
      </c>
    </row>
    <row r="16" spans="1:9" ht="12.75" customHeight="1">
      <c r="A16" s="14"/>
      <c r="B16" s="21"/>
      <c r="C16" s="22"/>
      <c r="D16" s="22"/>
      <c r="E16" s="22"/>
      <c r="F16" s="22"/>
      <c r="G16" s="22"/>
      <c r="H16" s="22"/>
      <c r="I16" s="22"/>
    </row>
    <row r="17" spans="1:9" ht="15.75">
      <c r="A17" s="23" t="s">
        <v>22</v>
      </c>
      <c r="B17" s="24" t="s">
        <v>23</v>
      </c>
      <c r="C17" s="25">
        <f>SUM(C19:C20)</f>
        <v>1500</v>
      </c>
      <c r="D17" s="25">
        <f>SUM(D19:D20)</f>
        <v>3882.17</v>
      </c>
      <c r="E17" s="25">
        <f>SUM(E19:E20)</f>
        <v>3049.75</v>
      </c>
      <c r="F17" s="137">
        <f>(E17/D17)*100</f>
        <v>78.55786840864774</v>
      </c>
      <c r="G17" s="25">
        <f>SUM(G19:G20)</f>
        <v>3882.17</v>
      </c>
      <c r="H17" s="25">
        <f>SUM(H19:H20)</f>
        <v>1500</v>
      </c>
      <c r="I17" s="137">
        <f>(H17/G17)*100</f>
        <v>38.6381843144427</v>
      </c>
    </row>
    <row r="18" spans="1:9" ht="15.75">
      <c r="A18" s="14"/>
      <c r="B18" s="21"/>
      <c r="C18" s="26"/>
      <c r="D18" s="26"/>
      <c r="E18" s="26"/>
      <c r="F18" s="26"/>
      <c r="G18" s="26"/>
      <c r="H18" s="26"/>
      <c r="I18" s="26"/>
    </row>
    <row r="19" spans="1:9" ht="15">
      <c r="A19" s="41"/>
      <c r="B19" s="28" t="s">
        <v>28</v>
      </c>
      <c r="C19" s="29">
        <v>1500</v>
      </c>
      <c r="D19" s="29">
        <v>1500</v>
      </c>
      <c r="E19" s="29">
        <v>667.58</v>
      </c>
      <c r="F19" s="138">
        <f>(E19/D19)*100</f>
        <v>44.50533333333333</v>
      </c>
      <c r="G19" s="29">
        <v>1500</v>
      </c>
      <c r="H19" s="29">
        <v>1500</v>
      </c>
      <c r="I19" s="138">
        <f>(H19/G19)*100</f>
        <v>100</v>
      </c>
    </row>
    <row r="20" spans="1:9" ht="15">
      <c r="A20" s="41"/>
      <c r="B20" s="139" t="s">
        <v>210</v>
      </c>
      <c r="C20" s="44">
        <v>0</v>
      </c>
      <c r="D20" s="44">
        <v>2382.17</v>
      </c>
      <c r="E20" s="44">
        <v>2382.17</v>
      </c>
      <c r="F20" s="138">
        <f>(E20/D20)*100</f>
        <v>100</v>
      </c>
      <c r="G20" s="44">
        <v>2382.17</v>
      </c>
      <c r="H20" s="44">
        <v>0</v>
      </c>
      <c r="I20" s="138">
        <f>(H20/G20)*100</f>
        <v>0</v>
      </c>
    </row>
    <row r="21" spans="1:9" ht="15.75">
      <c r="A21" s="31"/>
      <c r="B21" s="31"/>
      <c r="C21" s="33"/>
      <c r="D21" s="33"/>
      <c r="E21" s="33"/>
      <c r="F21" s="33"/>
      <c r="G21" s="33"/>
      <c r="H21" s="33"/>
      <c r="I21" s="33"/>
    </row>
    <row r="22" spans="1:9" ht="16.5" thickBot="1">
      <c r="A22" s="34">
        <v>600</v>
      </c>
      <c r="B22" s="35" t="s">
        <v>25</v>
      </c>
      <c r="C22" s="36">
        <f>SUM(C24,C30)</f>
        <v>4212000</v>
      </c>
      <c r="D22" s="36">
        <f>SUM(D24,D30)</f>
        <v>4518265</v>
      </c>
      <c r="E22" s="36">
        <f>SUM(E24,E30)</f>
        <v>1902539.17</v>
      </c>
      <c r="F22" s="19">
        <f>(E22/D22)*100</f>
        <v>42.10773759396582</v>
      </c>
      <c r="G22" s="36">
        <f>SUM(G24,G30)</f>
        <v>3023370.6</v>
      </c>
      <c r="H22" s="36">
        <f>SUM(H24,H30)</f>
        <v>3882206</v>
      </c>
      <c r="I22" s="19">
        <f>(H22/G22)*100</f>
        <v>128.4065539302393</v>
      </c>
    </row>
    <row r="23" spans="1:9" ht="16.5" thickTop="1">
      <c r="A23" s="14"/>
      <c r="B23" s="14"/>
      <c r="C23" s="37"/>
      <c r="D23" s="37"/>
      <c r="E23" s="37"/>
      <c r="F23" s="37"/>
      <c r="G23" s="37"/>
      <c r="H23" s="37"/>
      <c r="I23" s="37"/>
    </row>
    <row r="24" spans="1:9" ht="15.75">
      <c r="A24" s="38">
        <v>60004</v>
      </c>
      <c r="B24" s="39" t="s">
        <v>26</v>
      </c>
      <c r="C24" s="25">
        <f>SUM(C26:C27)</f>
        <v>859000</v>
      </c>
      <c r="D24" s="25">
        <f>SUM(D26:D28)</f>
        <v>905440</v>
      </c>
      <c r="E24" s="25">
        <f>SUM(E26:E28)</f>
        <v>638242.5</v>
      </c>
      <c r="F24" s="137">
        <f>(E24/D24)*100</f>
        <v>70.48976188372504</v>
      </c>
      <c r="G24" s="25">
        <f>SUM(G26:G28)</f>
        <v>904040</v>
      </c>
      <c r="H24" s="25">
        <f>SUM(H26:H28)</f>
        <v>919000</v>
      </c>
      <c r="I24" s="137">
        <f>(H24/G24)*100</f>
        <v>101.65479403566214</v>
      </c>
    </row>
    <row r="25" spans="1:9" ht="15.75">
      <c r="A25" s="14"/>
      <c r="B25" s="31"/>
      <c r="C25" s="40"/>
      <c r="D25" s="40"/>
      <c r="E25" s="40"/>
      <c r="F25" s="40"/>
      <c r="G25" s="40"/>
      <c r="H25" s="40"/>
      <c r="I25" s="40"/>
    </row>
    <row r="26" spans="1:9" ht="15">
      <c r="A26" s="41"/>
      <c r="B26" s="42" t="s">
        <v>29</v>
      </c>
      <c r="C26" s="29">
        <v>854000</v>
      </c>
      <c r="D26" s="29">
        <v>854000</v>
      </c>
      <c r="E26" s="29">
        <v>635992.5</v>
      </c>
      <c r="F26" s="138">
        <f>(E26/D26)*100</f>
        <v>74.47218969555036</v>
      </c>
      <c r="G26" s="29">
        <v>852613.5</v>
      </c>
      <c r="H26" s="29">
        <v>860000</v>
      </c>
      <c r="I26" s="138">
        <f>(H26/G26)*100</f>
        <v>100.86633627077215</v>
      </c>
    </row>
    <row r="27" spans="1:9" ht="30">
      <c r="A27" s="41"/>
      <c r="B27" s="42" t="s">
        <v>101</v>
      </c>
      <c r="C27" s="29">
        <v>5000</v>
      </c>
      <c r="D27" s="29">
        <v>5000</v>
      </c>
      <c r="E27" s="29">
        <v>2250</v>
      </c>
      <c r="F27" s="138">
        <f>(E27/D27)*100</f>
        <v>45</v>
      </c>
      <c r="G27" s="29">
        <v>5000</v>
      </c>
      <c r="H27" s="29">
        <v>5000</v>
      </c>
      <c r="I27" s="138">
        <f>(H27/G27)*100</f>
        <v>100</v>
      </c>
    </row>
    <row r="28" spans="1:9" ht="15">
      <c r="A28" s="41"/>
      <c r="B28" s="77" t="s">
        <v>237</v>
      </c>
      <c r="C28" s="67"/>
      <c r="D28" s="67">
        <v>46440</v>
      </c>
      <c r="E28" s="67">
        <v>0</v>
      </c>
      <c r="F28" s="138">
        <v>0</v>
      </c>
      <c r="G28" s="67">
        <v>46426.5</v>
      </c>
      <c r="H28" s="67">
        <v>54000</v>
      </c>
      <c r="I28" s="138">
        <f>(H28/G28)*100</f>
        <v>116.31288165164293</v>
      </c>
    </row>
    <row r="29" spans="1:9" ht="15.75">
      <c r="A29" s="14"/>
      <c r="B29" s="45"/>
      <c r="C29" s="37"/>
      <c r="D29" s="37"/>
      <c r="E29" s="37"/>
      <c r="F29" s="37"/>
      <c r="G29" s="37"/>
      <c r="H29" s="37"/>
      <c r="I29" s="37"/>
    </row>
    <row r="30" spans="1:9" ht="15.75">
      <c r="A30" s="38">
        <v>60016</v>
      </c>
      <c r="B30" s="39" t="s">
        <v>27</v>
      </c>
      <c r="C30" s="25">
        <f>SUM(C32:C35,C36)</f>
        <v>3353000</v>
      </c>
      <c r="D30" s="25">
        <f>SUM(D32:D35,D36)</f>
        <v>3612825</v>
      </c>
      <c r="E30" s="25">
        <f>SUM(E32:E35,E36)</f>
        <v>1264296.67</v>
      </c>
      <c r="F30" s="137">
        <f>(E30/D30)*100</f>
        <v>34.99468338488579</v>
      </c>
      <c r="G30" s="25">
        <f>SUM(G32:G35,G36)</f>
        <v>2119330.6</v>
      </c>
      <c r="H30" s="25">
        <f>SUM(H32:H35,H36)</f>
        <v>2963206</v>
      </c>
      <c r="I30" s="137">
        <f>(H30/G30)*100</f>
        <v>139.81801612263794</v>
      </c>
    </row>
    <row r="31" spans="1:9" ht="15.75">
      <c r="A31" s="14"/>
      <c r="B31" s="46"/>
      <c r="C31" s="37"/>
      <c r="D31" s="37"/>
      <c r="E31" s="37"/>
      <c r="F31" s="40"/>
      <c r="G31" s="37"/>
      <c r="H31" s="37"/>
      <c r="I31" s="40"/>
    </row>
    <row r="32" spans="1:9" ht="15.75" customHeight="1">
      <c r="A32" s="14"/>
      <c r="B32" s="47" t="s">
        <v>141</v>
      </c>
      <c r="C32" s="29">
        <v>300000</v>
      </c>
      <c r="D32" s="29">
        <v>350000</v>
      </c>
      <c r="E32" s="29">
        <v>302668.44</v>
      </c>
      <c r="F32" s="138">
        <f>(E32/D32)*100</f>
        <v>86.47669714285713</v>
      </c>
      <c r="G32" s="29">
        <v>350000</v>
      </c>
      <c r="H32" s="29">
        <f>450000-50000</f>
        <v>400000</v>
      </c>
      <c r="I32" s="138">
        <f>(H32/G32)*100</f>
        <v>114.28571428571428</v>
      </c>
    </row>
    <row r="33" spans="1:9" ht="60.75">
      <c r="A33" s="14"/>
      <c r="B33" s="47" t="s">
        <v>233</v>
      </c>
      <c r="C33" s="29">
        <v>800000</v>
      </c>
      <c r="D33" s="29">
        <v>703560</v>
      </c>
      <c r="E33" s="29">
        <v>484067.19</v>
      </c>
      <c r="F33" s="138">
        <f>(E33/D33)*100</f>
        <v>68.8025456251066</v>
      </c>
      <c r="G33" s="29">
        <v>701807.8</v>
      </c>
      <c r="H33" s="29">
        <v>750000</v>
      </c>
      <c r="I33" s="138">
        <f>(H33/G33)*100</f>
        <v>106.86686582850746</v>
      </c>
    </row>
    <row r="34" spans="1:9" ht="15.75">
      <c r="A34" s="14"/>
      <c r="B34" s="47" t="s">
        <v>234</v>
      </c>
      <c r="C34" s="29">
        <v>21000</v>
      </c>
      <c r="D34" s="29">
        <v>31206</v>
      </c>
      <c r="E34" s="29">
        <v>20804</v>
      </c>
      <c r="F34" s="138">
        <f>(E34/D34)*100</f>
        <v>66.66666666666666</v>
      </c>
      <c r="G34" s="29">
        <v>31206</v>
      </c>
      <c r="H34" s="29">
        <v>31206</v>
      </c>
      <c r="I34" s="138">
        <f>(H34/G34)*100</f>
        <v>100</v>
      </c>
    </row>
    <row r="35" spans="1:9" ht="30.75">
      <c r="A35" s="14"/>
      <c r="B35" s="121" t="s">
        <v>235</v>
      </c>
      <c r="C35" s="67">
        <v>2000</v>
      </c>
      <c r="D35" s="67">
        <v>2000</v>
      </c>
      <c r="E35" s="67">
        <v>0</v>
      </c>
      <c r="F35" s="138">
        <f>(E35/D35)*100</f>
        <v>0</v>
      </c>
      <c r="G35" s="67">
        <v>0</v>
      </c>
      <c r="H35" s="67">
        <v>2000</v>
      </c>
      <c r="I35" s="138">
        <v>0</v>
      </c>
    </row>
    <row r="36" spans="1:9" ht="15.75">
      <c r="A36" s="14"/>
      <c r="B36" s="48" t="s">
        <v>103</v>
      </c>
      <c r="C36" s="26">
        <f>SUM(C38:C42)</f>
        <v>2230000</v>
      </c>
      <c r="D36" s="26">
        <f>SUM(D38:D45)</f>
        <v>2526059</v>
      </c>
      <c r="E36" s="26">
        <f>SUM(E38:E45)</f>
        <v>456757.04</v>
      </c>
      <c r="F36" s="141">
        <f>(E36/D36)*100</f>
        <v>18.08180410671326</v>
      </c>
      <c r="G36" s="26">
        <f>SUM(G38:G45)</f>
        <v>1036316.7999999999</v>
      </c>
      <c r="H36" s="26">
        <f>SUM(H38:H45)</f>
        <v>1780000</v>
      </c>
      <c r="I36" s="141">
        <f>(H36/G36)*100</f>
        <v>171.76214840867195</v>
      </c>
    </row>
    <row r="37" spans="1:9" ht="15.75">
      <c r="A37" s="14"/>
      <c r="B37" s="48" t="s">
        <v>2</v>
      </c>
      <c r="C37" s="26"/>
      <c r="D37" s="26"/>
      <c r="E37" s="26"/>
      <c r="F37" s="26"/>
      <c r="G37" s="26"/>
      <c r="H37" s="26"/>
      <c r="I37" s="26"/>
    </row>
    <row r="38" spans="1:9" ht="30.75">
      <c r="A38" s="14"/>
      <c r="B38" s="47" t="s">
        <v>236</v>
      </c>
      <c r="C38" s="29">
        <v>80000</v>
      </c>
      <c r="D38" s="29">
        <v>80000</v>
      </c>
      <c r="E38" s="29">
        <v>0</v>
      </c>
      <c r="F38" s="138">
        <f>(E38/D38)*100</f>
        <v>0</v>
      </c>
      <c r="G38" s="29">
        <v>0</v>
      </c>
      <c r="H38" s="29">
        <v>80000</v>
      </c>
      <c r="I38" s="138">
        <v>0</v>
      </c>
    </row>
    <row r="39" spans="1:9" ht="15.75" customHeight="1">
      <c r="A39" s="14"/>
      <c r="B39" s="132" t="s">
        <v>203</v>
      </c>
      <c r="C39" s="29">
        <f>1000000-970000</f>
        <v>30000</v>
      </c>
      <c r="D39" s="29">
        <f>1000000-970000</f>
        <v>30000</v>
      </c>
      <c r="E39" s="29">
        <v>29906.6</v>
      </c>
      <c r="F39" s="138">
        <f>(E39/D39)*100</f>
        <v>99.68866666666666</v>
      </c>
      <c r="G39" s="29">
        <v>29906.6</v>
      </c>
      <c r="H39" s="29">
        <v>1000000</v>
      </c>
      <c r="I39" s="138">
        <f>(H39/G39)*100</f>
        <v>3343.743521496927</v>
      </c>
    </row>
    <row r="40" spans="1:9" ht="30.75">
      <c r="A40" s="14"/>
      <c r="B40" s="121" t="s">
        <v>346</v>
      </c>
      <c r="C40" s="67">
        <f>20000+500000</f>
        <v>520000</v>
      </c>
      <c r="D40" s="67">
        <f>20000+500000</f>
        <v>520000</v>
      </c>
      <c r="E40" s="67">
        <v>17712</v>
      </c>
      <c r="F40" s="138">
        <f>(E40/D40)*100</f>
        <v>3.4061538461538463</v>
      </c>
      <c r="G40" s="67">
        <v>19697.6</v>
      </c>
      <c r="H40" s="67">
        <v>530000</v>
      </c>
      <c r="I40" s="138">
        <f>(H40/G40)*100</f>
        <v>2690.683128909106</v>
      </c>
    </row>
    <row r="41" spans="1:9" ht="15.75">
      <c r="A41" s="14"/>
      <c r="B41" s="121" t="s">
        <v>238</v>
      </c>
      <c r="C41" s="67">
        <v>1600000</v>
      </c>
      <c r="D41" s="67">
        <v>1516059</v>
      </c>
      <c r="E41" s="67">
        <v>357645.34</v>
      </c>
      <c r="F41" s="138">
        <f>(E41/D41)*100</f>
        <v>23.590463167990166</v>
      </c>
      <c r="G41" s="67">
        <v>929500</v>
      </c>
      <c r="H41" s="67">
        <v>0</v>
      </c>
      <c r="I41" s="138">
        <f>(H41/G41)*100</f>
        <v>0</v>
      </c>
    </row>
    <row r="42" spans="1:9" ht="15.75">
      <c r="A42" s="14"/>
      <c r="B42" s="135" t="s">
        <v>239</v>
      </c>
      <c r="C42" s="62">
        <v>0</v>
      </c>
      <c r="D42" s="62">
        <v>380000</v>
      </c>
      <c r="E42" s="62">
        <v>51493.1</v>
      </c>
      <c r="F42" s="140">
        <f>(E42/D42)*100</f>
        <v>13.550815789473683</v>
      </c>
      <c r="G42" s="62">
        <v>57212.6</v>
      </c>
      <c r="H42" s="62">
        <v>0</v>
      </c>
      <c r="I42" s="138">
        <f>(H42/G42)*100</f>
        <v>0</v>
      </c>
    </row>
    <row r="43" spans="1:9" ht="45.75">
      <c r="A43" s="14"/>
      <c r="B43" s="135" t="s">
        <v>240</v>
      </c>
      <c r="C43" s="62"/>
      <c r="D43" s="62">
        <v>0</v>
      </c>
      <c r="E43" s="62">
        <v>0</v>
      </c>
      <c r="F43" s="144">
        <v>0</v>
      </c>
      <c r="G43" s="62">
        <v>0</v>
      </c>
      <c r="H43" s="62">
        <v>60000</v>
      </c>
      <c r="I43" s="138">
        <v>0</v>
      </c>
    </row>
    <row r="44" spans="1:9" ht="30.75">
      <c r="A44" s="14"/>
      <c r="B44" s="135" t="s">
        <v>241</v>
      </c>
      <c r="C44" s="62"/>
      <c r="D44" s="62">
        <v>0</v>
      </c>
      <c r="E44" s="62">
        <v>0</v>
      </c>
      <c r="F44" s="144">
        <v>0</v>
      </c>
      <c r="G44" s="62">
        <v>0</v>
      </c>
      <c r="H44" s="62">
        <v>100000</v>
      </c>
      <c r="I44" s="144">
        <v>0</v>
      </c>
    </row>
    <row r="45" spans="1:9" ht="30.75">
      <c r="A45" s="14"/>
      <c r="B45" s="135" t="s">
        <v>242</v>
      </c>
      <c r="C45" s="62"/>
      <c r="D45" s="62">
        <v>0</v>
      </c>
      <c r="E45" s="62">
        <v>0</v>
      </c>
      <c r="F45" s="144">
        <v>0</v>
      </c>
      <c r="G45" s="62">
        <v>0</v>
      </c>
      <c r="H45" s="62">
        <v>10000</v>
      </c>
      <c r="I45" s="138">
        <v>0</v>
      </c>
    </row>
    <row r="46" spans="1:9" ht="11.25" customHeight="1">
      <c r="A46" s="31"/>
      <c r="B46" s="31"/>
      <c r="C46" s="40"/>
      <c r="D46" s="40"/>
      <c r="E46" s="40"/>
      <c r="F46" s="40"/>
      <c r="G46" s="40"/>
      <c r="H46" s="40"/>
      <c r="I46" s="40"/>
    </row>
    <row r="47" spans="1:9" ht="16.5" thickBot="1">
      <c r="A47" s="34">
        <v>630</v>
      </c>
      <c r="B47" s="35" t="s">
        <v>96</v>
      </c>
      <c r="C47" s="50">
        <f>SUM(C49)</f>
        <v>4000</v>
      </c>
      <c r="D47" s="50">
        <f>SUM(D49)</f>
        <v>4000</v>
      </c>
      <c r="E47" s="50">
        <f>SUM(E49)</f>
        <v>2200</v>
      </c>
      <c r="F47" s="19">
        <f>(E47/D47)*100</f>
        <v>55.00000000000001</v>
      </c>
      <c r="G47" s="50">
        <f>SUM(G49)</f>
        <v>2200</v>
      </c>
      <c r="H47" s="50">
        <f>SUM(H49)</f>
        <v>3000</v>
      </c>
      <c r="I47" s="19">
        <f>(H47/G47)*100</f>
        <v>136.36363636363635</v>
      </c>
    </row>
    <row r="48" spans="1:9" ht="16.5" thickTop="1">
      <c r="A48" s="20"/>
      <c r="B48" s="20"/>
      <c r="C48" s="37"/>
      <c r="D48" s="37"/>
      <c r="E48" s="37"/>
      <c r="F48" s="37"/>
      <c r="G48" s="37"/>
      <c r="H48" s="37"/>
      <c r="I48" s="37"/>
    </row>
    <row r="49" spans="1:9" ht="31.5">
      <c r="A49" s="38">
        <v>63003</v>
      </c>
      <c r="B49" s="136" t="s">
        <v>204</v>
      </c>
      <c r="C49" s="125">
        <f>SUM(C51)</f>
        <v>4000</v>
      </c>
      <c r="D49" s="125">
        <f>SUM(D51)</f>
        <v>4000</v>
      </c>
      <c r="E49" s="125">
        <f>SUM(E51)</f>
        <v>2200</v>
      </c>
      <c r="F49" s="137">
        <f>(E49/D49)*100</f>
        <v>55.00000000000001</v>
      </c>
      <c r="G49" s="125">
        <f>SUM(G51)</f>
        <v>2200</v>
      </c>
      <c r="H49" s="125">
        <f>SUM(H51)</f>
        <v>3000</v>
      </c>
      <c r="I49" s="137">
        <f>(H49/G49)*100</f>
        <v>136.36363636363635</v>
      </c>
    </row>
    <row r="50" spans="1:9" ht="15">
      <c r="A50" s="41"/>
      <c r="B50" s="43"/>
      <c r="C50" s="44"/>
      <c r="D50" s="44"/>
      <c r="E50" s="44"/>
      <c r="F50" s="44"/>
      <c r="G50" s="44"/>
      <c r="H50" s="44"/>
      <c r="I50" s="44"/>
    </row>
    <row r="51" spans="1:9" ht="45">
      <c r="A51" s="41"/>
      <c r="B51" s="42" t="s">
        <v>187</v>
      </c>
      <c r="C51" s="44">
        <v>4000</v>
      </c>
      <c r="D51" s="44">
        <v>4000</v>
      </c>
      <c r="E51" s="44">
        <v>2200</v>
      </c>
      <c r="F51" s="138">
        <f>(E51/D51)*100</f>
        <v>55.00000000000001</v>
      </c>
      <c r="G51" s="44">
        <v>2200</v>
      </c>
      <c r="H51" s="44">
        <v>3000</v>
      </c>
      <c r="I51" s="138">
        <f>(H51/G51)*100</f>
        <v>136.36363636363635</v>
      </c>
    </row>
    <row r="52" spans="1:9" ht="15.75">
      <c r="A52" s="31"/>
      <c r="B52" s="31"/>
      <c r="C52" s="40"/>
      <c r="D52" s="40"/>
      <c r="E52" s="40"/>
      <c r="F52" s="40"/>
      <c r="G52" s="40"/>
      <c r="H52" s="40"/>
      <c r="I52" s="40"/>
    </row>
    <row r="53" spans="1:9" ht="16.5" thickBot="1">
      <c r="A53" s="34">
        <v>700</v>
      </c>
      <c r="B53" s="35" t="s">
        <v>30</v>
      </c>
      <c r="C53" s="50">
        <f>SUM(C55,C59,C82)</f>
        <v>11718394</v>
      </c>
      <c r="D53" s="50">
        <f>SUM(D55,D59,D82)</f>
        <v>11718394</v>
      </c>
      <c r="E53" s="50">
        <f>SUM(E55,E59,E82)</f>
        <v>8531450.309999999</v>
      </c>
      <c r="F53" s="19">
        <f>(E53/D53)*100</f>
        <v>72.80392099804801</v>
      </c>
      <c r="G53" s="50">
        <f>SUM(G55,G59,G82)</f>
        <v>11785643.74</v>
      </c>
      <c r="H53" s="50">
        <f>SUM(H55,H59,H82)</f>
        <v>11449103</v>
      </c>
      <c r="I53" s="19">
        <f>(H53/G53)*100</f>
        <v>97.14448571987803</v>
      </c>
    </row>
    <row r="54" spans="1:9" ht="16.5" thickTop="1">
      <c r="A54" s="20"/>
      <c r="B54" s="20"/>
      <c r="C54" s="37"/>
      <c r="D54" s="37"/>
      <c r="E54" s="37"/>
      <c r="F54" s="37"/>
      <c r="G54" s="37"/>
      <c r="H54" s="37"/>
      <c r="I54" s="37"/>
    </row>
    <row r="55" spans="1:9" ht="31.5">
      <c r="A55" s="38">
        <v>70004</v>
      </c>
      <c r="B55" s="131" t="s">
        <v>31</v>
      </c>
      <c r="C55" s="25">
        <f>SUM(C56:C57)</f>
        <v>30000</v>
      </c>
      <c r="D55" s="25">
        <f>SUM(D56:D57)</f>
        <v>30000</v>
      </c>
      <c r="E55" s="25">
        <f>SUM(E56:E57)</f>
        <v>24428</v>
      </c>
      <c r="F55" s="137">
        <f>(E55/D55)*100</f>
        <v>81.42666666666668</v>
      </c>
      <c r="G55" s="25">
        <f>SUM(G56:G57)</f>
        <v>30000</v>
      </c>
      <c r="H55" s="25">
        <f>SUM(H56:H57)</f>
        <v>0</v>
      </c>
      <c r="I55" s="137">
        <f>(H55/G55)*100</f>
        <v>0</v>
      </c>
    </row>
    <row r="56" spans="1:9" ht="15.75">
      <c r="A56" s="14"/>
      <c r="B56" s="58"/>
      <c r="C56" s="40"/>
      <c r="D56" s="40"/>
      <c r="E56" s="40"/>
      <c r="F56" s="40"/>
      <c r="G56" s="40"/>
      <c r="H56" s="40"/>
      <c r="I56" s="40"/>
    </row>
    <row r="57" spans="1:9" ht="30">
      <c r="A57" s="41"/>
      <c r="B57" s="42" t="s">
        <v>188</v>
      </c>
      <c r="C57" s="29">
        <v>30000</v>
      </c>
      <c r="D57" s="29">
        <v>30000</v>
      </c>
      <c r="E57" s="29">
        <v>24428</v>
      </c>
      <c r="F57" s="138">
        <f>(E57/D57)*100</f>
        <v>81.42666666666668</v>
      </c>
      <c r="G57" s="29">
        <v>30000</v>
      </c>
      <c r="H57" s="29">
        <v>0</v>
      </c>
      <c r="I57" s="138">
        <f>(H57/G57)*100</f>
        <v>0</v>
      </c>
    </row>
    <row r="58" spans="1:9" ht="15.75">
      <c r="A58" s="14"/>
      <c r="B58" s="14"/>
      <c r="C58" s="37"/>
      <c r="D58" s="37"/>
      <c r="E58" s="37"/>
      <c r="F58" s="37"/>
      <c r="G58" s="37"/>
      <c r="H58" s="37"/>
      <c r="I58" s="37"/>
    </row>
    <row r="59" spans="1:9" ht="15.75">
      <c r="A59" s="38">
        <v>70005</v>
      </c>
      <c r="B59" s="59" t="s">
        <v>32</v>
      </c>
      <c r="C59" s="25">
        <f>SUM(C61:C66,C69)</f>
        <v>9224894</v>
      </c>
      <c r="D59" s="25">
        <f>SUM(D61:D68,D69)</f>
        <v>9106894</v>
      </c>
      <c r="E59" s="25">
        <f>SUM(E61:E68,E69)</f>
        <v>6597639.549999999</v>
      </c>
      <c r="F59" s="137">
        <f>(E59/D59)*100</f>
        <v>72.44664920883014</v>
      </c>
      <c r="G59" s="25">
        <f>SUM(G61:G68,G69)</f>
        <v>8906975.74</v>
      </c>
      <c r="H59" s="25">
        <f>SUM(H61:H68,H69)</f>
        <v>8804103</v>
      </c>
      <c r="I59" s="137">
        <f>(H59/G59)*100</f>
        <v>98.84503177057043</v>
      </c>
    </row>
    <row r="60" spans="1:9" ht="15.75">
      <c r="A60" s="14"/>
      <c r="B60" s="14"/>
      <c r="C60" s="26"/>
      <c r="D60" s="26"/>
      <c r="E60" s="26"/>
      <c r="F60" s="26"/>
      <c r="G60" s="26"/>
      <c r="H60" s="26"/>
      <c r="I60" s="26"/>
    </row>
    <row r="61" spans="1:9" ht="15" customHeight="1">
      <c r="A61" s="41"/>
      <c r="B61" s="42" t="s">
        <v>126</v>
      </c>
      <c r="C61" s="29">
        <v>60000</v>
      </c>
      <c r="D61" s="29">
        <v>60000</v>
      </c>
      <c r="E61" s="29">
        <v>27090.81</v>
      </c>
      <c r="F61" s="138">
        <f aca="true" t="shared" si="0" ref="F61:F69">(E61/D61)*100</f>
        <v>45.15135</v>
      </c>
      <c r="G61" s="29">
        <v>42828.03</v>
      </c>
      <c r="H61" s="29">
        <v>60000</v>
      </c>
      <c r="I61" s="138">
        <f aca="true" t="shared" si="1" ref="I61:I69">(H61/G61)*100</f>
        <v>140.09516664670312</v>
      </c>
    </row>
    <row r="62" spans="1:9" ht="30">
      <c r="A62" s="41"/>
      <c r="B62" s="66" t="s">
        <v>189</v>
      </c>
      <c r="C62" s="67">
        <v>10000</v>
      </c>
      <c r="D62" s="67">
        <v>10000</v>
      </c>
      <c r="E62" s="67">
        <v>4047.03</v>
      </c>
      <c r="F62" s="138">
        <f t="shared" si="0"/>
        <v>40.4703</v>
      </c>
      <c r="G62" s="67">
        <v>6387.03</v>
      </c>
      <c r="H62" s="67">
        <v>10000</v>
      </c>
      <c r="I62" s="138">
        <f t="shared" si="1"/>
        <v>156.5672934055422</v>
      </c>
    </row>
    <row r="63" spans="1:9" ht="15">
      <c r="A63" s="41"/>
      <c r="B63" s="66" t="s">
        <v>184</v>
      </c>
      <c r="C63" s="67">
        <v>21</v>
      </c>
      <c r="D63" s="67">
        <v>21</v>
      </c>
      <c r="E63" s="67">
        <v>20.52</v>
      </c>
      <c r="F63" s="138">
        <f t="shared" si="0"/>
        <v>97.71428571428571</v>
      </c>
      <c r="G63" s="67">
        <v>20.52</v>
      </c>
      <c r="H63" s="67">
        <v>21</v>
      </c>
      <c r="I63" s="138">
        <f t="shared" si="1"/>
        <v>102.3391812865497</v>
      </c>
    </row>
    <row r="64" spans="1:9" ht="15">
      <c r="A64" s="41"/>
      <c r="B64" s="66" t="s">
        <v>127</v>
      </c>
      <c r="C64" s="67">
        <v>35000</v>
      </c>
      <c r="D64" s="67">
        <v>75000</v>
      </c>
      <c r="E64" s="67">
        <v>61074</v>
      </c>
      <c r="F64" s="138">
        <f t="shared" si="0"/>
        <v>81.432</v>
      </c>
      <c r="G64" s="67">
        <v>61074</v>
      </c>
      <c r="H64" s="67">
        <v>34500</v>
      </c>
      <c r="I64" s="138">
        <f t="shared" si="1"/>
        <v>56.48884959229786</v>
      </c>
    </row>
    <row r="65" spans="1:9" ht="30">
      <c r="A65" s="41"/>
      <c r="B65" s="66" t="s">
        <v>243</v>
      </c>
      <c r="C65" s="67">
        <v>471660</v>
      </c>
      <c r="D65" s="67">
        <v>412476.34</v>
      </c>
      <c r="E65" s="67">
        <v>118252.5</v>
      </c>
      <c r="F65" s="138">
        <f t="shared" si="0"/>
        <v>28.66891710685757</v>
      </c>
      <c r="G65" s="67">
        <v>118252.5</v>
      </c>
      <c r="H65" s="67">
        <f>139654-120000</f>
        <v>19654</v>
      </c>
      <c r="I65" s="138">
        <f t="shared" si="1"/>
        <v>16.620367434092305</v>
      </c>
    </row>
    <row r="66" spans="1:9" ht="45">
      <c r="A66" s="41"/>
      <c r="B66" s="66" t="s">
        <v>211</v>
      </c>
      <c r="C66" s="67">
        <v>0</v>
      </c>
      <c r="D66" s="67">
        <v>15000</v>
      </c>
      <c r="E66" s="67">
        <v>11185</v>
      </c>
      <c r="F66" s="138">
        <f t="shared" si="0"/>
        <v>74.56666666666666</v>
      </c>
      <c r="G66" s="67">
        <v>11185</v>
      </c>
      <c r="H66" s="67">
        <v>0</v>
      </c>
      <c r="I66" s="138">
        <f t="shared" si="1"/>
        <v>0</v>
      </c>
    </row>
    <row r="67" spans="1:9" ht="30">
      <c r="A67" s="41"/>
      <c r="B67" s="66" t="s">
        <v>244</v>
      </c>
      <c r="C67" s="67"/>
      <c r="D67" s="67">
        <v>3217</v>
      </c>
      <c r="E67" s="67">
        <v>3217</v>
      </c>
      <c r="F67" s="144">
        <f t="shared" si="0"/>
        <v>100</v>
      </c>
      <c r="G67" s="67">
        <v>3217</v>
      </c>
      <c r="H67" s="67">
        <v>0</v>
      </c>
      <c r="I67" s="144">
        <f t="shared" si="1"/>
        <v>0</v>
      </c>
    </row>
    <row r="68" spans="1:9" ht="30">
      <c r="A68" s="41"/>
      <c r="B68" s="60" t="s">
        <v>245</v>
      </c>
      <c r="C68" s="29"/>
      <c r="D68" s="29">
        <v>966.66</v>
      </c>
      <c r="E68" s="29">
        <v>966.66</v>
      </c>
      <c r="F68" s="138">
        <f t="shared" si="0"/>
        <v>100</v>
      </c>
      <c r="G68" s="29">
        <v>966.66</v>
      </c>
      <c r="H68" s="29">
        <v>0</v>
      </c>
      <c r="I68" s="138">
        <f t="shared" si="1"/>
        <v>0</v>
      </c>
    </row>
    <row r="69" spans="1:9" ht="14.25" customHeight="1">
      <c r="A69" s="41"/>
      <c r="B69" s="63" t="s">
        <v>110</v>
      </c>
      <c r="C69" s="55">
        <f>SUM(C71:C72)</f>
        <v>8648213</v>
      </c>
      <c r="D69" s="55">
        <f>SUM(D71:D74)</f>
        <v>8530213</v>
      </c>
      <c r="E69" s="55">
        <f>SUM(E71:E74)</f>
        <v>6371786.029999999</v>
      </c>
      <c r="F69" s="141">
        <f t="shared" si="0"/>
        <v>74.69668143104984</v>
      </c>
      <c r="G69" s="55">
        <f>SUM(G71:G74)</f>
        <v>8663045</v>
      </c>
      <c r="H69" s="55">
        <f>SUM(H71:H74)</f>
        <v>8679928</v>
      </c>
      <c r="I69" s="142">
        <f t="shared" si="1"/>
        <v>100.19488528571652</v>
      </c>
    </row>
    <row r="70" spans="1:9" ht="15">
      <c r="A70" s="41"/>
      <c r="B70" s="61" t="s">
        <v>2</v>
      </c>
      <c r="C70" s="44"/>
      <c r="D70" s="44"/>
      <c r="E70" s="44"/>
      <c r="F70" s="44"/>
      <c r="G70" s="44"/>
      <c r="H70" s="44"/>
      <c r="I70" s="44"/>
    </row>
    <row r="71" spans="1:9" ht="15">
      <c r="A71" s="43"/>
      <c r="B71" s="61" t="s">
        <v>82</v>
      </c>
      <c r="C71" s="44">
        <f>1955763-241872</f>
        <v>1713891</v>
      </c>
      <c r="D71" s="44">
        <v>1744438</v>
      </c>
      <c r="E71" s="44">
        <v>1304501.97</v>
      </c>
      <c r="F71" s="140">
        <f>(E71/D71)*100</f>
        <v>74.78064396671019</v>
      </c>
      <c r="G71" s="44">
        <v>1744438</v>
      </c>
      <c r="H71" s="44">
        <v>1831378</v>
      </c>
      <c r="I71" s="140">
        <f>(H71/G71)*100</f>
        <v>104.98384006768941</v>
      </c>
    </row>
    <row r="72" spans="1:9" ht="15">
      <c r="A72" s="41"/>
      <c r="B72" s="61" t="s">
        <v>11</v>
      </c>
      <c r="C72" s="44">
        <f>6682450+241872+10000</f>
        <v>6934322</v>
      </c>
      <c r="D72" s="44">
        <v>6785775</v>
      </c>
      <c r="E72" s="44">
        <v>5067284.06</v>
      </c>
      <c r="F72" s="140">
        <f>(E72/D72)*100</f>
        <v>74.67509694913255</v>
      </c>
      <c r="G72" s="44">
        <f>6785775+132832</f>
        <v>6918607</v>
      </c>
      <c r="H72" s="44">
        <f>7033550-220000</f>
        <v>6813550</v>
      </c>
      <c r="I72" s="140">
        <f>(H72/G72)*100</f>
        <v>98.48152959114458</v>
      </c>
    </row>
    <row r="73" spans="1:9" ht="30">
      <c r="A73" s="41"/>
      <c r="B73" s="42" t="s">
        <v>188</v>
      </c>
      <c r="C73" s="29">
        <v>30000</v>
      </c>
      <c r="D73" s="29">
        <v>0</v>
      </c>
      <c r="E73" s="29">
        <v>0</v>
      </c>
      <c r="F73" s="138">
        <v>0</v>
      </c>
      <c r="G73" s="29">
        <v>0</v>
      </c>
      <c r="H73" s="29">
        <v>25000</v>
      </c>
      <c r="I73" s="138">
        <v>0</v>
      </c>
    </row>
    <row r="74" spans="1:9" ht="15.75">
      <c r="A74" s="41"/>
      <c r="B74" s="48" t="s">
        <v>103</v>
      </c>
      <c r="C74" s="44"/>
      <c r="D74" s="55">
        <f>SUM(D76)</f>
        <v>0</v>
      </c>
      <c r="E74" s="55">
        <f>SUM(E76)</f>
        <v>0</v>
      </c>
      <c r="F74" s="142">
        <v>0</v>
      </c>
      <c r="G74" s="55">
        <f>SUM(G76)</f>
        <v>0</v>
      </c>
      <c r="H74" s="55">
        <f>SUM(H76)</f>
        <v>10000</v>
      </c>
      <c r="I74" s="140">
        <v>0</v>
      </c>
    </row>
    <row r="75" spans="1:9" ht="15.75">
      <c r="A75" s="41"/>
      <c r="B75" s="48" t="s">
        <v>2</v>
      </c>
      <c r="C75" s="44"/>
      <c r="D75" s="44"/>
      <c r="E75" s="44"/>
      <c r="F75" s="140"/>
      <c r="G75" s="44"/>
      <c r="H75" s="44"/>
      <c r="I75" s="140"/>
    </row>
    <row r="76" spans="1:9" ht="15.75" thickBot="1">
      <c r="A76" s="27"/>
      <c r="B76" s="60" t="s">
        <v>249</v>
      </c>
      <c r="C76" s="29"/>
      <c r="D76" s="29">
        <v>0</v>
      </c>
      <c r="E76" s="29">
        <v>0</v>
      </c>
      <c r="F76" s="138">
        <v>0</v>
      </c>
      <c r="G76" s="29">
        <v>0</v>
      </c>
      <c r="H76" s="29">
        <v>10000</v>
      </c>
      <c r="I76" s="138">
        <v>0</v>
      </c>
    </row>
    <row r="77" spans="1:9" ht="15.75">
      <c r="A77" s="2"/>
      <c r="B77" s="3"/>
      <c r="C77" s="4"/>
      <c r="D77" s="4"/>
      <c r="E77" s="4"/>
      <c r="F77" s="4"/>
      <c r="G77" s="4"/>
      <c r="H77" s="4"/>
      <c r="I77" s="4"/>
    </row>
    <row r="78" spans="1:9" ht="15.75">
      <c r="A78" s="5" t="s">
        <v>19</v>
      </c>
      <c r="B78" s="6" t="s">
        <v>0</v>
      </c>
      <c r="C78" s="7" t="s">
        <v>205</v>
      </c>
      <c r="D78" s="7" t="s">
        <v>205</v>
      </c>
      <c r="E78" s="7" t="s">
        <v>207</v>
      </c>
      <c r="F78" s="7" t="s">
        <v>208</v>
      </c>
      <c r="G78" s="7" t="s">
        <v>227</v>
      </c>
      <c r="H78" s="7" t="s">
        <v>228</v>
      </c>
      <c r="I78" s="7" t="s">
        <v>208</v>
      </c>
    </row>
    <row r="79" spans="1:9" ht="15.75">
      <c r="A79" s="5" t="s">
        <v>21</v>
      </c>
      <c r="B79" s="8"/>
      <c r="C79" s="7" t="s">
        <v>206</v>
      </c>
      <c r="D79" s="7" t="s">
        <v>226</v>
      </c>
      <c r="E79" s="7" t="s">
        <v>226</v>
      </c>
      <c r="F79" s="7" t="s">
        <v>209</v>
      </c>
      <c r="G79" s="7" t="s">
        <v>229</v>
      </c>
      <c r="H79" s="7" t="s">
        <v>231</v>
      </c>
      <c r="I79" s="7" t="s">
        <v>209</v>
      </c>
    </row>
    <row r="80" spans="1:9" ht="16.5" thickBot="1">
      <c r="A80" s="9"/>
      <c r="B80" s="10"/>
      <c r="C80" s="11" t="s">
        <v>186</v>
      </c>
      <c r="D80" s="11" t="s">
        <v>186</v>
      </c>
      <c r="E80" s="11" t="s">
        <v>186</v>
      </c>
      <c r="F80" s="11"/>
      <c r="G80" s="11" t="s">
        <v>230</v>
      </c>
      <c r="H80" s="11" t="s">
        <v>232</v>
      </c>
      <c r="I80" s="11"/>
    </row>
    <row r="81" spans="1:9" ht="15.75">
      <c r="A81" s="158"/>
      <c r="B81" s="160"/>
      <c r="C81" s="159"/>
      <c r="D81" s="159"/>
      <c r="E81" s="159"/>
      <c r="F81" s="159"/>
      <c r="G81" s="159"/>
      <c r="H81" s="159"/>
      <c r="I81" s="159"/>
    </row>
    <row r="82" spans="1:9" ht="15.75">
      <c r="A82" s="38">
        <v>70095</v>
      </c>
      <c r="B82" s="161" t="s">
        <v>23</v>
      </c>
      <c r="C82" s="25">
        <f>SUM(C84,C87)</f>
        <v>2463500</v>
      </c>
      <c r="D82" s="25">
        <f>SUM(D84,D87)</f>
        <v>2581500</v>
      </c>
      <c r="E82" s="25">
        <f>SUM(E84,E87)</f>
        <v>1909382.76</v>
      </c>
      <c r="F82" s="137">
        <f>(E82/D82)*100</f>
        <v>73.96408134805345</v>
      </c>
      <c r="G82" s="25">
        <f>SUM(G84,G87)</f>
        <v>2848668</v>
      </c>
      <c r="H82" s="25">
        <f>SUM(H84,H87)</f>
        <v>2645000</v>
      </c>
      <c r="I82" s="137">
        <f>(H82/G82)*100</f>
        <v>92.85041289472834</v>
      </c>
    </row>
    <row r="83" spans="1:9" ht="15.75">
      <c r="A83" s="14"/>
      <c r="B83" s="14"/>
      <c r="C83" s="26"/>
      <c r="D83" s="26"/>
      <c r="E83" s="26"/>
      <c r="F83" s="26"/>
      <c r="G83" s="26"/>
      <c r="H83" s="26"/>
      <c r="I83" s="26"/>
    </row>
    <row r="84" spans="1:9" ht="12.75" customHeight="1">
      <c r="A84" s="14"/>
      <c r="B84" s="65" t="s">
        <v>102</v>
      </c>
      <c r="C84" s="55">
        <f>SUM(C86:C86)</f>
        <v>2463500</v>
      </c>
      <c r="D84" s="55">
        <f>SUM(D86:D86)</f>
        <v>2581500</v>
      </c>
      <c r="E84" s="55">
        <f>SUM(E86:E86)</f>
        <v>1909382.76</v>
      </c>
      <c r="F84" s="142">
        <f>(E84/D84)*100</f>
        <v>73.96408134805345</v>
      </c>
      <c r="G84" s="55">
        <f>SUM(G86:G86)</f>
        <v>2848668</v>
      </c>
      <c r="H84" s="55">
        <f>SUM(H86:H86)</f>
        <v>2595000</v>
      </c>
      <c r="I84" s="142">
        <f>(H84/G84)*100</f>
        <v>91.09520660182233</v>
      </c>
    </row>
    <row r="85" spans="1:9" ht="12.75" customHeight="1">
      <c r="A85" s="14"/>
      <c r="B85" s="65" t="s">
        <v>2</v>
      </c>
      <c r="C85" s="44"/>
      <c r="D85" s="44"/>
      <c r="E85" s="44"/>
      <c r="F85" s="44"/>
      <c r="G85" s="44"/>
      <c r="H85" s="44"/>
      <c r="I85" s="44"/>
    </row>
    <row r="86" spans="1:9" ht="15.75">
      <c r="A86" s="14"/>
      <c r="B86" s="60" t="s">
        <v>85</v>
      </c>
      <c r="C86" s="29">
        <v>2463500</v>
      </c>
      <c r="D86" s="29">
        <v>2581500</v>
      </c>
      <c r="E86" s="29">
        <v>1909382.76</v>
      </c>
      <c r="F86" s="138">
        <f>(E86/D86)*100</f>
        <v>73.96408134805345</v>
      </c>
      <c r="G86" s="29">
        <f>2581500+267168</f>
        <v>2848668</v>
      </c>
      <c r="H86" s="29">
        <f>2995000-400000</f>
        <v>2595000</v>
      </c>
      <c r="I86" s="138">
        <f>(H86/G86)*100</f>
        <v>91.09520660182233</v>
      </c>
    </row>
    <row r="87" spans="1:9" ht="15.75">
      <c r="A87" s="14"/>
      <c r="B87" s="63" t="s">
        <v>103</v>
      </c>
      <c r="C87" s="55">
        <f aca="true" t="shared" si="2" ref="C87:I87">SUM(C89:C89)</f>
        <v>0</v>
      </c>
      <c r="D87" s="55">
        <f t="shared" si="2"/>
        <v>0</v>
      </c>
      <c r="E87" s="55">
        <f t="shared" si="2"/>
        <v>0</v>
      </c>
      <c r="F87" s="55">
        <f t="shared" si="2"/>
        <v>0</v>
      </c>
      <c r="G87" s="55">
        <f t="shared" si="2"/>
        <v>0</v>
      </c>
      <c r="H87" s="55">
        <f>SUM(H89:H89)</f>
        <v>50000</v>
      </c>
      <c r="I87" s="55">
        <f t="shared" si="2"/>
        <v>0</v>
      </c>
    </row>
    <row r="88" spans="1:9" ht="15.75">
      <c r="A88" s="14"/>
      <c r="B88" s="63" t="s">
        <v>2</v>
      </c>
      <c r="C88" s="44"/>
      <c r="D88" s="44"/>
      <c r="E88" s="44"/>
      <c r="F88" s="44"/>
      <c r="G88" s="44"/>
      <c r="H88" s="44"/>
      <c r="I88" s="44"/>
    </row>
    <row r="89" spans="1:9" s="69" customFormat="1" ht="46.5" customHeight="1" thickBot="1">
      <c r="A89" s="133"/>
      <c r="B89" s="127" t="s">
        <v>250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50000</v>
      </c>
      <c r="I89" s="126">
        <v>0</v>
      </c>
    </row>
    <row r="90" spans="1:9" ht="15.75">
      <c r="A90" s="31"/>
      <c r="B90" s="31"/>
      <c r="C90" s="33"/>
      <c r="D90" s="33"/>
      <c r="E90" s="33"/>
      <c r="F90" s="33"/>
      <c r="G90" s="33"/>
      <c r="H90" s="33"/>
      <c r="I90" s="33"/>
    </row>
    <row r="91" spans="1:9" ht="16.5" thickBot="1">
      <c r="A91" s="34">
        <v>710</v>
      </c>
      <c r="B91" s="35" t="s">
        <v>33</v>
      </c>
      <c r="C91" s="36">
        <f>SUM(C93,C102,C106)</f>
        <v>1188000</v>
      </c>
      <c r="D91" s="36">
        <f>SUM(D93,D102,D106)</f>
        <v>1186000</v>
      </c>
      <c r="E91" s="36">
        <f>SUM(E93,E102,E106)</f>
        <v>529280.61</v>
      </c>
      <c r="F91" s="19">
        <f>(E91/D91)*100</f>
        <v>44.627370151770656</v>
      </c>
      <c r="G91" s="36">
        <f>SUM(G93,G102,G106)</f>
        <v>1053709.93</v>
      </c>
      <c r="H91" s="36">
        <f>SUM(H93,H102,H106)</f>
        <v>940598</v>
      </c>
      <c r="I91" s="19">
        <f>(H91/G91)*100</f>
        <v>89.26536357116802</v>
      </c>
    </row>
    <row r="92" spans="1:9" ht="12.75" customHeight="1" thickTop="1">
      <c r="A92" s="14"/>
      <c r="B92" s="14"/>
      <c r="C92" s="37"/>
      <c r="D92" s="37"/>
      <c r="E92" s="37"/>
      <c r="F92" s="37"/>
      <c r="G92" s="37"/>
      <c r="H92" s="37"/>
      <c r="I92" s="37"/>
    </row>
    <row r="93" spans="1:9" ht="15.75">
      <c r="A93" s="38">
        <v>71004</v>
      </c>
      <c r="B93" s="59" t="s">
        <v>34</v>
      </c>
      <c r="C93" s="25">
        <f>SUM(C95:C100)</f>
        <v>84400</v>
      </c>
      <c r="D93" s="25">
        <f>SUM(D95:D100)</f>
        <v>82400</v>
      </c>
      <c r="E93" s="25">
        <f>SUM(E95:E100)</f>
        <v>2000</v>
      </c>
      <c r="F93" s="137">
        <f>(E93/D93)*100</f>
        <v>2.4271844660194173</v>
      </c>
      <c r="G93" s="25">
        <f>SUM(G95:G100)</f>
        <v>21631</v>
      </c>
      <c r="H93" s="25">
        <f>SUM(H95:H100)</f>
        <v>77998</v>
      </c>
      <c r="I93" s="137">
        <f>(H93/G93)*100</f>
        <v>360.58434653968845</v>
      </c>
    </row>
    <row r="94" spans="1:9" ht="15.75">
      <c r="A94" s="14"/>
      <c r="B94" s="64"/>
      <c r="C94" s="40"/>
      <c r="D94" s="40"/>
      <c r="E94" s="40"/>
      <c r="F94" s="40"/>
      <c r="G94" s="40"/>
      <c r="H94" s="40"/>
      <c r="I94" s="40"/>
    </row>
    <row r="95" spans="1:9" ht="58.5" customHeight="1">
      <c r="A95" s="41"/>
      <c r="B95" s="42" t="s">
        <v>246</v>
      </c>
      <c r="C95" s="29">
        <v>80000</v>
      </c>
      <c r="D95" s="29">
        <v>80000</v>
      </c>
      <c r="E95" s="29">
        <v>0</v>
      </c>
      <c r="F95" s="138">
        <f>(E95/D95)*100</f>
        <v>0</v>
      </c>
      <c r="G95" s="29">
        <v>19631</v>
      </c>
      <c r="H95" s="29">
        <v>8414</v>
      </c>
      <c r="I95" s="138">
        <f>(H95/G95)*100</f>
        <v>42.86078141714635</v>
      </c>
    </row>
    <row r="96" spans="1:9" ht="103.5" customHeight="1">
      <c r="A96" s="41"/>
      <c r="B96" s="42" t="s">
        <v>251</v>
      </c>
      <c r="C96" s="29"/>
      <c r="D96" s="29">
        <v>0</v>
      </c>
      <c r="E96" s="29">
        <v>0</v>
      </c>
      <c r="F96" s="138">
        <v>0</v>
      </c>
      <c r="G96" s="29">
        <v>0</v>
      </c>
      <c r="H96" s="29">
        <v>28044</v>
      </c>
      <c r="I96" s="138">
        <v>0</v>
      </c>
    </row>
    <row r="97" spans="1:9" ht="45">
      <c r="A97" s="41"/>
      <c r="B97" s="42" t="s">
        <v>252</v>
      </c>
      <c r="C97" s="29"/>
      <c r="D97" s="29">
        <v>0</v>
      </c>
      <c r="E97" s="29">
        <v>0</v>
      </c>
      <c r="F97" s="138">
        <v>0</v>
      </c>
      <c r="G97" s="29">
        <v>0</v>
      </c>
      <c r="H97" s="29">
        <v>22140</v>
      </c>
      <c r="I97" s="138">
        <v>0</v>
      </c>
    </row>
    <row r="98" spans="1:9" ht="15">
      <c r="A98" s="41"/>
      <c r="B98" s="60" t="s">
        <v>253</v>
      </c>
      <c r="C98" s="29">
        <v>2000</v>
      </c>
      <c r="D98" s="29">
        <v>0</v>
      </c>
      <c r="E98" s="29">
        <v>0</v>
      </c>
      <c r="F98" s="138">
        <v>0</v>
      </c>
      <c r="G98" s="29">
        <v>0</v>
      </c>
      <c r="H98" s="29">
        <v>2000</v>
      </c>
      <c r="I98" s="138">
        <v>0</v>
      </c>
    </row>
    <row r="99" spans="1:9" ht="15">
      <c r="A99" s="41"/>
      <c r="B99" s="60" t="s">
        <v>254</v>
      </c>
      <c r="C99" s="29"/>
      <c r="D99" s="29">
        <v>0</v>
      </c>
      <c r="E99" s="29">
        <v>0</v>
      </c>
      <c r="F99" s="138">
        <v>0</v>
      </c>
      <c r="G99" s="29">
        <v>0</v>
      </c>
      <c r="H99" s="29">
        <v>15000</v>
      </c>
      <c r="I99" s="138">
        <v>0</v>
      </c>
    </row>
    <row r="100" spans="1:9" ht="30">
      <c r="A100" s="41"/>
      <c r="B100" s="60" t="s">
        <v>247</v>
      </c>
      <c r="C100" s="29">
        <v>2400</v>
      </c>
      <c r="D100" s="29">
        <v>2400</v>
      </c>
      <c r="E100" s="29">
        <v>2000</v>
      </c>
      <c r="F100" s="138">
        <f>(E100/D100)*100</f>
        <v>83.33333333333334</v>
      </c>
      <c r="G100" s="29">
        <v>2000</v>
      </c>
      <c r="H100" s="29">
        <v>2400</v>
      </c>
      <c r="I100" s="138">
        <f>(H100/G100)*100</f>
        <v>120</v>
      </c>
    </row>
    <row r="101" spans="1:9" ht="12" customHeight="1">
      <c r="A101" s="31"/>
      <c r="B101" s="64"/>
      <c r="C101" s="33"/>
      <c r="D101" s="33"/>
      <c r="E101" s="33"/>
      <c r="F101" s="33"/>
      <c r="G101" s="33"/>
      <c r="H101" s="33"/>
      <c r="I101" s="33"/>
    </row>
    <row r="102" spans="1:9" ht="15.75">
      <c r="A102" s="38">
        <v>71014</v>
      </c>
      <c r="B102" s="59" t="s">
        <v>35</v>
      </c>
      <c r="C102" s="26">
        <f>SUM(C104)</f>
        <v>1000</v>
      </c>
      <c r="D102" s="26">
        <f>SUM(D104)</f>
        <v>1000</v>
      </c>
      <c r="E102" s="26">
        <f>SUM(E104)</f>
        <v>0</v>
      </c>
      <c r="F102" s="137">
        <f>(E102/D102)*100</f>
        <v>0</v>
      </c>
      <c r="G102" s="26">
        <f>SUM(G104)</f>
        <v>0</v>
      </c>
      <c r="H102" s="26">
        <f>SUM(H104)</f>
        <v>1000</v>
      </c>
      <c r="I102" s="137">
        <v>0</v>
      </c>
    </row>
    <row r="103" spans="1:9" ht="15.75">
      <c r="A103" s="31"/>
      <c r="B103" s="71"/>
      <c r="C103" s="40"/>
      <c r="D103" s="40"/>
      <c r="E103" s="40"/>
      <c r="F103" s="40"/>
      <c r="G103" s="40"/>
      <c r="H103" s="40"/>
      <c r="I103" s="40"/>
    </row>
    <row r="104" spans="1:9" ht="30.75">
      <c r="A104" s="39"/>
      <c r="B104" s="42" t="s">
        <v>10</v>
      </c>
      <c r="C104" s="29">
        <v>1000</v>
      </c>
      <c r="D104" s="29">
        <v>1000</v>
      </c>
      <c r="E104" s="29">
        <v>0</v>
      </c>
      <c r="F104" s="138">
        <f>(E104/D104)*100</f>
        <v>0</v>
      </c>
      <c r="G104" s="29">
        <v>0</v>
      </c>
      <c r="H104" s="29">
        <v>1000</v>
      </c>
      <c r="I104" s="138">
        <v>0</v>
      </c>
    </row>
    <row r="105" spans="1:9" ht="12.75" customHeight="1">
      <c r="A105" s="31"/>
      <c r="B105" s="64"/>
      <c r="C105" s="33"/>
      <c r="D105" s="33"/>
      <c r="E105" s="33"/>
      <c r="F105" s="33"/>
      <c r="G105" s="33"/>
      <c r="H105" s="33"/>
      <c r="I105" s="33"/>
    </row>
    <row r="106" spans="1:9" ht="15.75">
      <c r="A106" s="38">
        <v>71035</v>
      </c>
      <c r="B106" s="72" t="s">
        <v>86</v>
      </c>
      <c r="C106" s="25">
        <f>SUM(C108,C114)</f>
        <v>1102600</v>
      </c>
      <c r="D106" s="25">
        <f>SUM(D108,D114)</f>
        <v>1102600</v>
      </c>
      <c r="E106" s="25">
        <f>SUM(E108,E114)</f>
        <v>527280.61</v>
      </c>
      <c r="F106" s="137">
        <f>(E106/D106)*100</f>
        <v>47.82156811173589</v>
      </c>
      <c r="G106" s="25">
        <f>SUM(G108,G114)</f>
        <v>1032078.9299999999</v>
      </c>
      <c r="H106" s="25">
        <f>SUM(H108,H114)</f>
        <v>861600</v>
      </c>
      <c r="I106" s="137">
        <f>(H106/G106)*100</f>
        <v>83.48198717708539</v>
      </c>
    </row>
    <row r="107" spans="1:9" ht="15.75">
      <c r="A107" s="73"/>
      <c r="B107" s="74"/>
      <c r="C107" s="37"/>
      <c r="D107" s="37"/>
      <c r="E107" s="37"/>
      <c r="F107" s="37"/>
      <c r="G107" s="37"/>
      <c r="H107" s="37"/>
      <c r="I107" s="37"/>
    </row>
    <row r="108" spans="1:9" ht="15.75">
      <c r="A108" s="73"/>
      <c r="B108" s="54" t="s">
        <v>102</v>
      </c>
      <c r="C108" s="26">
        <f>SUM(C110:C113)</f>
        <v>312600</v>
      </c>
      <c r="D108" s="26">
        <f>SUM(D110:D113)</f>
        <v>318532</v>
      </c>
      <c r="E108" s="26">
        <f>SUM(E110:E113)</f>
        <v>164491.41</v>
      </c>
      <c r="F108" s="142">
        <f>(E108/D108)*100</f>
        <v>51.64046626398604</v>
      </c>
      <c r="G108" s="26">
        <f>SUM(G110:G113)</f>
        <v>318532</v>
      </c>
      <c r="H108" s="26">
        <f>SUM(H110:H113)</f>
        <v>361600</v>
      </c>
      <c r="I108" s="142">
        <f>(H108/G108)*100</f>
        <v>113.52077656248039</v>
      </c>
    </row>
    <row r="109" spans="1:9" ht="15.75">
      <c r="A109" s="73"/>
      <c r="B109" s="54" t="s">
        <v>2</v>
      </c>
      <c r="C109" s="44"/>
      <c r="D109" s="44"/>
      <c r="E109" s="44"/>
      <c r="F109" s="44"/>
      <c r="G109" s="44"/>
      <c r="H109" s="44"/>
      <c r="I109" s="44"/>
    </row>
    <row r="110" spans="1:9" ht="15.75">
      <c r="A110" s="73"/>
      <c r="B110" s="42" t="s">
        <v>142</v>
      </c>
      <c r="C110" s="29">
        <v>302600</v>
      </c>
      <c r="D110" s="29">
        <v>308297</v>
      </c>
      <c r="E110" s="29">
        <v>164491.41</v>
      </c>
      <c r="F110" s="138">
        <f>(E110/D110)*100</f>
        <v>53.354852625876994</v>
      </c>
      <c r="G110" s="29">
        <v>308297</v>
      </c>
      <c r="H110" s="29">
        <f>358600-50000</f>
        <v>308600</v>
      </c>
      <c r="I110" s="138">
        <f>(H110/G110)*100</f>
        <v>100.09828185159115</v>
      </c>
    </row>
    <row r="111" spans="1:9" ht="30.75">
      <c r="A111" s="73"/>
      <c r="B111" s="42" t="s">
        <v>257</v>
      </c>
      <c r="C111" s="29">
        <v>7000</v>
      </c>
      <c r="D111" s="29">
        <v>7235</v>
      </c>
      <c r="E111" s="29">
        <v>0</v>
      </c>
      <c r="F111" s="138">
        <f>(E111/D111)*100</f>
        <v>0</v>
      </c>
      <c r="G111" s="29">
        <v>7235</v>
      </c>
      <c r="H111" s="29">
        <v>0</v>
      </c>
      <c r="I111" s="138">
        <f>(H111/G111)*100</f>
        <v>0</v>
      </c>
    </row>
    <row r="112" spans="1:9" ht="30.75">
      <c r="A112" s="73"/>
      <c r="B112" s="42" t="s">
        <v>259</v>
      </c>
      <c r="C112" s="29"/>
      <c r="D112" s="29">
        <v>0</v>
      </c>
      <c r="E112" s="29">
        <v>0</v>
      </c>
      <c r="F112" s="138">
        <v>0</v>
      </c>
      <c r="G112" s="29">
        <v>0</v>
      </c>
      <c r="H112" s="29">
        <v>50000</v>
      </c>
      <c r="I112" s="138">
        <v>0</v>
      </c>
    </row>
    <row r="113" spans="1:9" ht="45.75">
      <c r="A113" s="73"/>
      <c r="B113" s="42" t="s">
        <v>258</v>
      </c>
      <c r="C113" s="29">
        <v>3000</v>
      </c>
      <c r="D113" s="29">
        <v>3000</v>
      </c>
      <c r="E113" s="29">
        <v>0</v>
      </c>
      <c r="F113" s="138">
        <f>(E113/D113)*100</f>
        <v>0</v>
      </c>
      <c r="G113" s="29">
        <v>3000</v>
      </c>
      <c r="H113" s="29">
        <v>3000</v>
      </c>
      <c r="I113" s="138">
        <f>(H113/G113)*100</f>
        <v>100</v>
      </c>
    </row>
    <row r="114" spans="1:9" ht="15.75">
      <c r="A114" s="73"/>
      <c r="B114" s="63" t="s">
        <v>103</v>
      </c>
      <c r="C114" s="26">
        <f>SUM(C116:C118)</f>
        <v>790000</v>
      </c>
      <c r="D114" s="26">
        <f>SUM(D116:D118)</f>
        <v>784068</v>
      </c>
      <c r="E114" s="26">
        <f>SUM(E116:E118)</f>
        <v>362789.2</v>
      </c>
      <c r="F114" s="141">
        <f>(E114/D114)*100</f>
        <v>46.27011942841692</v>
      </c>
      <c r="G114" s="26">
        <f>SUM(G116:G118)</f>
        <v>713546.9299999999</v>
      </c>
      <c r="H114" s="26">
        <f>SUM(H116:H118)</f>
        <v>500000</v>
      </c>
      <c r="I114" s="142">
        <f>(H114/G114)*100</f>
        <v>70.07247582159734</v>
      </c>
    </row>
    <row r="115" spans="1:9" ht="15.75">
      <c r="A115" s="73"/>
      <c r="B115" s="63" t="s">
        <v>2</v>
      </c>
      <c r="C115" s="75"/>
      <c r="D115" s="75"/>
      <c r="E115" s="75"/>
      <c r="F115" s="75"/>
      <c r="G115" s="75"/>
      <c r="H115" s="75"/>
      <c r="I115" s="75"/>
    </row>
    <row r="116" spans="1:9" ht="30.75">
      <c r="A116" s="73"/>
      <c r="B116" s="42" t="s">
        <v>255</v>
      </c>
      <c r="C116" s="29">
        <v>750000</v>
      </c>
      <c r="D116" s="29">
        <v>728740</v>
      </c>
      <c r="E116" s="29">
        <v>362789.2</v>
      </c>
      <c r="F116" s="138">
        <f>(E116/D116)*100</f>
        <v>49.78307764085957</v>
      </c>
      <c r="G116" s="29">
        <f>728740-70521.07</f>
        <v>658218.9299999999</v>
      </c>
      <c r="H116" s="29">
        <v>0</v>
      </c>
      <c r="I116" s="138">
        <f>(H116/G116)*100</f>
        <v>0</v>
      </c>
    </row>
    <row r="117" spans="1:9" ht="30.75">
      <c r="A117" s="73"/>
      <c r="B117" s="42" t="s">
        <v>260</v>
      </c>
      <c r="C117" s="29"/>
      <c r="D117" s="29">
        <v>0</v>
      </c>
      <c r="E117" s="29">
        <v>0</v>
      </c>
      <c r="F117" s="138">
        <v>0</v>
      </c>
      <c r="G117" s="29">
        <v>0</v>
      </c>
      <c r="H117" s="29">
        <f>700500-200500</f>
        <v>500000</v>
      </c>
      <c r="I117" s="138">
        <v>0</v>
      </c>
    </row>
    <row r="118" spans="1:9" ht="30.75">
      <c r="A118" s="38"/>
      <c r="B118" s="77" t="s">
        <v>256</v>
      </c>
      <c r="C118" s="67">
        <v>40000</v>
      </c>
      <c r="D118" s="67">
        <v>55328</v>
      </c>
      <c r="E118" s="67">
        <v>0</v>
      </c>
      <c r="F118" s="138">
        <f>(E118/D118)*100</f>
        <v>0</v>
      </c>
      <c r="G118" s="67">
        <v>55328</v>
      </c>
      <c r="H118" s="67">
        <v>0</v>
      </c>
      <c r="I118" s="138">
        <f>(H118/G118)*100</f>
        <v>0</v>
      </c>
    </row>
    <row r="119" spans="1:9" ht="15.75">
      <c r="A119" s="14"/>
      <c r="B119" s="43"/>
      <c r="C119" s="44"/>
      <c r="D119" s="44"/>
      <c r="E119" s="44"/>
      <c r="F119" s="44"/>
      <c r="G119" s="44"/>
      <c r="H119" s="44"/>
      <c r="I119" s="44"/>
    </row>
    <row r="120" spans="1:9" ht="16.5" thickBot="1">
      <c r="A120" s="34">
        <v>750</v>
      </c>
      <c r="B120" s="35" t="s">
        <v>36</v>
      </c>
      <c r="C120" s="36">
        <f>SUM(C122,C129,C141,C164,C171)</f>
        <v>9521812</v>
      </c>
      <c r="D120" s="36">
        <f>SUM(D122,D129,D141,D164,D171)</f>
        <v>9630252</v>
      </c>
      <c r="E120" s="36">
        <f>SUM(E122,E129,E141,E164,E171)</f>
        <v>6486394.179999999</v>
      </c>
      <c r="F120" s="19">
        <f>(E120/D120)*100</f>
        <v>67.35435562849237</v>
      </c>
      <c r="G120" s="36">
        <f>SUM(G122,G129,G141,G164,G171)</f>
        <v>9420927.86</v>
      </c>
      <c r="H120" s="36">
        <f>SUM(H122,H129,H141,H164,H171)</f>
        <v>12350681</v>
      </c>
      <c r="I120" s="19">
        <f>(H120/G120)*100</f>
        <v>131.0983502213125</v>
      </c>
    </row>
    <row r="121" spans="1:9" ht="12.75" customHeight="1" thickTop="1">
      <c r="A121" s="14"/>
      <c r="B121" s="14"/>
      <c r="C121" s="26"/>
      <c r="D121" s="26"/>
      <c r="E121" s="26"/>
      <c r="F121" s="26"/>
      <c r="G121" s="26"/>
      <c r="H121" s="26"/>
      <c r="I121" s="26"/>
    </row>
    <row r="122" spans="1:9" ht="15.75">
      <c r="A122" s="38">
        <v>75011</v>
      </c>
      <c r="B122" s="39" t="s">
        <v>37</v>
      </c>
      <c r="C122" s="25">
        <f>SUM(C124:C125)</f>
        <v>287360</v>
      </c>
      <c r="D122" s="25">
        <f>SUM(D124:D125)</f>
        <v>430493</v>
      </c>
      <c r="E122" s="25">
        <f>SUM(E124:E125)</f>
        <v>358643.47</v>
      </c>
      <c r="F122" s="137">
        <f>(E122/D122)*100</f>
        <v>83.30994232194251</v>
      </c>
      <c r="G122" s="25">
        <f>SUM(G124:G125)</f>
        <v>478644</v>
      </c>
      <c r="H122" s="25">
        <f>SUM(H124:H125)</f>
        <v>542438</v>
      </c>
      <c r="I122" s="137">
        <f>(H122/G122)*100</f>
        <v>113.32806846006636</v>
      </c>
    </row>
    <row r="123" spans="1:9" ht="12.75" customHeight="1">
      <c r="A123" s="14"/>
      <c r="B123" s="14"/>
      <c r="C123" s="40"/>
      <c r="D123" s="40"/>
      <c r="E123" s="40"/>
      <c r="F123" s="40"/>
      <c r="G123" s="40"/>
      <c r="H123" s="40"/>
      <c r="I123" s="40"/>
    </row>
    <row r="124" spans="1:9" ht="60.75">
      <c r="A124" s="14"/>
      <c r="B124" s="42" t="s">
        <v>128</v>
      </c>
      <c r="C124" s="29">
        <v>287360</v>
      </c>
      <c r="D124" s="29">
        <v>287360</v>
      </c>
      <c r="E124" s="29">
        <v>215520.02</v>
      </c>
      <c r="F124" s="138">
        <f>(E124/D124)*100</f>
        <v>75.00000695991092</v>
      </c>
      <c r="G124" s="29">
        <v>292111</v>
      </c>
      <c r="H124" s="29">
        <v>352438</v>
      </c>
      <c r="I124" s="138">
        <f>(H124/G124)*100</f>
        <v>120.65208088706005</v>
      </c>
    </row>
    <row r="125" spans="1:9" ht="45.75">
      <c r="A125" s="14"/>
      <c r="B125" s="78" t="s">
        <v>222</v>
      </c>
      <c r="C125" s="62">
        <v>0</v>
      </c>
      <c r="D125" s="62">
        <v>143133</v>
      </c>
      <c r="E125" s="62">
        <v>143123.45</v>
      </c>
      <c r="F125" s="143">
        <f>(E125/D125)*100</f>
        <v>99.99332788385628</v>
      </c>
      <c r="G125" s="62">
        <v>186533</v>
      </c>
      <c r="H125" s="62">
        <v>190000</v>
      </c>
      <c r="I125" s="143">
        <f>(H125/G125)*100</f>
        <v>101.85865235641951</v>
      </c>
    </row>
    <row r="126" spans="1:9" ht="15.75">
      <c r="A126" s="14"/>
      <c r="B126" s="43" t="s">
        <v>2</v>
      </c>
      <c r="C126" s="44"/>
      <c r="D126" s="75"/>
      <c r="E126" s="75"/>
      <c r="F126" s="140"/>
      <c r="G126" s="44"/>
      <c r="H126" s="44"/>
      <c r="I126" s="140"/>
    </row>
    <row r="127" spans="1:9" ht="15.75">
      <c r="A127" s="14"/>
      <c r="B127" s="42" t="s">
        <v>82</v>
      </c>
      <c r="C127" s="29">
        <v>0</v>
      </c>
      <c r="D127" s="29">
        <v>70261</v>
      </c>
      <c r="E127" s="29">
        <v>70259.24</v>
      </c>
      <c r="F127" s="138">
        <f>(E127/D127)*100</f>
        <v>99.99749505415522</v>
      </c>
      <c r="G127" s="29">
        <v>89668</v>
      </c>
      <c r="H127" s="29">
        <v>90000</v>
      </c>
      <c r="I127" s="138">
        <f>(H127/G127)*100</f>
        <v>100.37025471740198</v>
      </c>
    </row>
    <row r="128" spans="1:9" ht="12.75" customHeight="1">
      <c r="A128" s="14"/>
      <c r="B128" s="14"/>
      <c r="C128" s="37"/>
      <c r="D128" s="37"/>
      <c r="E128" s="37"/>
      <c r="F128" s="37"/>
      <c r="G128" s="37"/>
      <c r="H128" s="37"/>
      <c r="I128" s="37"/>
    </row>
    <row r="129" spans="1:9" ht="15.75">
      <c r="A129" s="38">
        <v>75022</v>
      </c>
      <c r="B129" s="39" t="s">
        <v>38</v>
      </c>
      <c r="C129" s="25">
        <f>SUM(C131:C134)</f>
        <v>278368</v>
      </c>
      <c r="D129" s="25">
        <f>SUM(D131:D134)</f>
        <v>278368</v>
      </c>
      <c r="E129" s="25">
        <f>SUM(E131:E134)</f>
        <v>213429.66</v>
      </c>
      <c r="F129" s="137">
        <f>(E129/D129)*100</f>
        <v>76.67176543280837</v>
      </c>
      <c r="G129" s="25">
        <f>SUM(G131:G134)</f>
        <v>278368</v>
      </c>
      <c r="H129" s="25">
        <f>SUM(H131:H134)</f>
        <v>276368</v>
      </c>
      <c r="I129" s="137">
        <f>(H129/G129)*100</f>
        <v>99.28152661225428</v>
      </c>
    </row>
    <row r="130" spans="1:9" ht="15.75">
      <c r="A130" s="14"/>
      <c r="B130" s="14"/>
      <c r="C130" s="26"/>
      <c r="D130" s="26"/>
      <c r="E130" s="26"/>
      <c r="F130" s="26"/>
      <c r="G130" s="26"/>
      <c r="H130" s="26"/>
      <c r="I130" s="26"/>
    </row>
    <row r="131" spans="1:9" ht="15.75">
      <c r="A131" s="14"/>
      <c r="B131" s="27" t="s">
        <v>143</v>
      </c>
      <c r="C131" s="29">
        <v>267168</v>
      </c>
      <c r="D131" s="29">
        <v>267168</v>
      </c>
      <c r="E131" s="29">
        <v>209965.63</v>
      </c>
      <c r="F131" s="138">
        <f>(E131/D131)*100</f>
        <v>78.58936324709546</v>
      </c>
      <c r="G131" s="29">
        <v>267168</v>
      </c>
      <c r="H131" s="29">
        <v>267168</v>
      </c>
      <c r="I131" s="138">
        <f>(H131/G131)*100</f>
        <v>100</v>
      </c>
    </row>
    <row r="132" spans="1:9" ht="15.75">
      <c r="A132" s="14"/>
      <c r="B132" s="27" t="s">
        <v>144</v>
      </c>
      <c r="C132" s="29">
        <v>1200</v>
      </c>
      <c r="D132" s="29">
        <v>0</v>
      </c>
      <c r="E132" s="29">
        <v>0</v>
      </c>
      <c r="F132" s="138">
        <v>0</v>
      </c>
      <c r="G132" s="29">
        <v>0</v>
      </c>
      <c r="H132" s="29">
        <v>1200</v>
      </c>
      <c r="I132" s="138">
        <v>0</v>
      </c>
    </row>
    <row r="133" spans="1:9" ht="15.75">
      <c r="A133" s="14"/>
      <c r="B133" s="42" t="s">
        <v>145</v>
      </c>
      <c r="C133" s="29">
        <v>8000</v>
      </c>
      <c r="D133" s="29">
        <v>9200</v>
      </c>
      <c r="E133" s="29">
        <v>3464.03</v>
      </c>
      <c r="F133" s="138">
        <f>(E133/D133)*100</f>
        <v>37.6525</v>
      </c>
      <c r="G133" s="29">
        <v>9200</v>
      </c>
      <c r="H133" s="29">
        <v>6000</v>
      </c>
      <c r="I133" s="138">
        <f>(H133/G133)*100</f>
        <v>65.21739130434783</v>
      </c>
    </row>
    <row r="134" spans="1:9" ht="15.75">
      <c r="A134" s="39"/>
      <c r="B134" s="77" t="s">
        <v>146</v>
      </c>
      <c r="C134" s="67">
        <v>2000</v>
      </c>
      <c r="D134" s="67">
        <v>2000</v>
      </c>
      <c r="E134" s="67">
        <v>0</v>
      </c>
      <c r="F134" s="138">
        <f>(E134/D134)*100</f>
        <v>0</v>
      </c>
      <c r="G134" s="67">
        <v>2000</v>
      </c>
      <c r="H134" s="67">
        <v>2000</v>
      </c>
      <c r="I134" s="138">
        <f>(H134/G134)*100</f>
        <v>100</v>
      </c>
    </row>
    <row r="135" spans="1:9" ht="10.5" customHeight="1" thickBot="1">
      <c r="A135" s="30"/>
      <c r="B135" s="85"/>
      <c r="C135" s="70"/>
      <c r="D135" s="70"/>
      <c r="E135" s="70"/>
      <c r="F135" s="147"/>
      <c r="G135" s="70"/>
      <c r="H135" s="70"/>
      <c r="I135" s="147"/>
    </row>
    <row r="136" spans="1:9" ht="15.75">
      <c r="A136" s="2"/>
      <c r="B136" s="3"/>
      <c r="C136" s="4"/>
      <c r="D136" s="4"/>
      <c r="E136" s="4"/>
      <c r="F136" s="4"/>
      <c r="G136" s="4"/>
      <c r="H136" s="4"/>
      <c r="I136" s="4"/>
    </row>
    <row r="137" spans="1:9" ht="15.75">
      <c r="A137" s="5" t="s">
        <v>19</v>
      </c>
      <c r="B137" s="6" t="s">
        <v>0</v>
      </c>
      <c r="C137" s="7" t="s">
        <v>205</v>
      </c>
      <c r="D137" s="7" t="s">
        <v>205</v>
      </c>
      <c r="E137" s="7" t="s">
        <v>207</v>
      </c>
      <c r="F137" s="7" t="s">
        <v>208</v>
      </c>
      <c r="G137" s="7" t="s">
        <v>227</v>
      </c>
      <c r="H137" s="7" t="s">
        <v>228</v>
      </c>
      <c r="I137" s="7" t="s">
        <v>208</v>
      </c>
    </row>
    <row r="138" spans="1:9" ht="15.75">
      <c r="A138" s="5" t="s">
        <v>21</v>
      </c>
      <c r="B138" s="8"/>
      <c r="C138" s="7" t="s">
        <v>206</v>
      </c>
      <c r="D138" s="7" t="s">
        <v>226</v>
      </c>
      <c r="E138" s="7" t="s">
        <v>226</v>
      </c>
      <c r="F138" s="7" t="s">
        <v>209</v>
      </c>
      <c r="G138" s="7" t="s">
        <v>229</v>
      </c>
      <c r="H138" s="7" t="s">
        <v>231</v>
      </c>
      <c r="I138" s="7" t="s">
        <v>209</v>
      </c>
    </row>
    <row r="139" spans="1:9" ht="16.5" thickBot="1">
      <c r="A139" s="9"/>
      <c r="B139" s="10"/>
      <c r="C139" s="11" t="s">
        <v>186</v>
      </c>
      <c r="D139" s="11" t="s">
        <v>186</v>
      </c>
      <c r="E139" s="11" t="s">
        <v>186</v>
      </c>
      <c r="F139" s="11"/>
      <c r="G139" s="11" t="s">
        <v>230</v>
      </c>
      <c r="H139" s="11" t="s">
        <v>232</v>
      </c>
      <c r="I139" s="11"/>
    </row>
    <row r="140" spans="1:9" ht="9" customHeight="1">
      <c r="A140" s="31"/>
      <c r="B140" s="31"/>
      <c r="C140" s="33"/>
      <c r="D140" s="33"/>
      <c r="E140" s="33"/>
      <c r="F140" s="33"/>
      <c r="G140" s="33"/>
      <c r="H140" s="33"/>
      <c r="I140" s="33"/>
    </row>
    <row r="141" spans="1:9" ht="15.75">
      <c r="A141" s="38">
        <v>75023</v>
      </c>
      <c r="B141" s="39" t="s">
        <v>39</v>
      </c>
      <c r="C141" s="122">
        <f>SUM(C143,C157)</f>
        <v>8681684</v>
      </c>
      <c r="D141" s="122">
        <f>SUM(D143,D157)</f>
        <v>8618488.74</v>
      </c>
      <c r="E141" s="122">
        <f>SUM(E143,E157)</f>
        <v>5781878.409999999</v>
      </c>
      <c r="F141" s="137">
        <f>(E141/D141)*100</f>
        <v>67.08691725923168</v>
      </c>
      <c r="G141" s="122">
        <f>SUM(G143,G157)</f>
        <v>8418985.94</v>
      </c>
      <c r="H141" s="122">
        <f>SUM(H143,H157)</f>
        <v>11207014</v>
      </c>
      <c r="I141" s="137">
        <f>(H141/G141)*100</f>
        <v>133.11596051911212</v>
      </c>
    </row>
    <row r="142" spans="1:9" ht="15.75">
      <c r="A142" s="14"/>
      <c r="B142" s="14"/>
      <c r="C142" s="123"/>
      <c r="D142" s="123"/>
      <c r="E142" s="123"/>
      <c r="F142" s="123"/>
      <c r="G142" s="123"/>
      <c r="H142" s="123"/>
      <c r="I142" s="123"/>
    </row>
    <row r="143" spans="1:9" ht="15.75">
      <c r="A143" s="14"/>
      <c r="B143" s="14" t="s">
        <v>102</v>
      </c>
      <c r="C143" s="124">
        <f>SUM(C145:C156)</f>
        <v>8396684</v>
      </c>
      <c r="D143" s="124">
        <f>SUM(D145:D146,D148:D156)</f>
        <v>8455873.74</v>
      </c>
      <c r="E143" s="124">
        <f>SUM(E145:E146,E148:E156)</f>
        <v>5716566.64</v>
      </c>
      <c r="F143" s="142">
        <f>(E143/D143)*100</f>
        <v>67.60468303775784</v>
      </c>
      <c r="G143" s="124">
        <f>SUM(G145:G146,G148:G156)</f>
        <v>8283455.9399999995</v>
      </c>
      <c r="H143" s="124">
        <f>SUM(H145:H146,H148:H156)</f>
        <v>8315014</v>
      </c>
      <c r="I143" s="142">
        <f>(H143/G143)*100</f>
        <v>100.38097697662167</v>
      </c>
    </row>
    <row r="144" spans="1:9" ht="15.75">
      <c r="A144" s="14"/>
      <c r="B144" s="65" t="s">
        <v>2</v>
      </c>
      <c r="C144" s="44"/>
      <c r="D144" s="44"/>
      <c r="E144" s="44"/>
      <c r="F144" s="44"/>
      <c r="G144" s="44"/>
      <c r="H144" s="44"/>
      <c r="I144" s="44"/>
    </row>
    <row r="145" spans="1:9" s="69" customFormat="1" ht="30.75">
      <c r="A145" s="58"/>
      <c r="B145" s="42" t="s">
        <v>147</v>
      </c>
      <c r="C145" s="29">
        <v>5909000</v>
      </c>
      <c r="D145" s="29">
        <v>5811939</v>
      </c>
      <c r="E145" s="29">
        <v>4199785.31</v>
      </c>
      <c r="F145" s="138">
        <f aca="true" t="shared" si="3" ref="F145:F157">(E145/D145)*100</f>
        <v>72.26134531005917</v>
      </c>
      <c r="G145" s="29">
        <v>5811939</v>
      </c>
      <c r="H145" s="29">
        <f>6459472-400000</f>
        <v>6059472</v>
      </c>
      <c r="I145" s="138">
        <f aca="true" t="shared" si="4" ref="I145:I153">(H145/G145)*100</f>
        <v>104.25904332443959</v>
      </c>
    </row>
    <row r="146" spans="1:9" ht="30.75">
      <c r="A146" s="14"/>
      <c r="B146" s="43" t="s">
        <v>148</v>
      </c>
      <c r="C146" s="44">
        <v>1794684</v>
      </c>
      <c r="D146" s="44">
        <f>1397697.74+15290+347375</f>
        <v>1760362.74</v>
      </c>
      <c r="E146" s="44">
        <f>815359.25+9672.83+231764.06</f>
        <v>1056796.14</v>
      </c>
      <c r="F146" s="140">
        <f t="shared" si="3"/>
        <v>60.03286231791067</v>
      </c>
      <c r="G146" s="44">
        <f>1285113.94+15290+347375</f>
        <v>1647778.94</v>
      </c>
      <c r="H146" s="44">
        <f>1354658+10000+212000</f>
        <v>1576658</v>
      </c>
      <c r="I146" s="140">
        <f t="shared" si="4"/>
        <v>95.68383001666474</v>
      </c>
    </row>
    <row r="147" spans="1:9" ht="30.75">
      <c r="A147" s="14"/>
      <c r="B147" s="42" t="s">
        <v>340</v>
      </c>
      <c r="C147" s="29"/>
      <c r="D147" s="29">
        <v>1800</v>
      </c>
      <c r="E147" s="29">
        <v>0</v>
      </c>
      <c r="F147" s="138">
        <f t="shared" si="3"/>
        <v>0</v>
      </c>
      <c r="G147" s="29">
        <v>1800</v>
      </c>
      <c r="H147" s="29">
        <v>1800</v>
      </c>
      <c r="I147" s="138">
        <f t="shared" si="4"/>
        <v>100</v>
      </c>
    </row>
    <row r="148" spans="1:9" ht="30.75">
      <c r="A148" s="14"/>
      <c r="B148" s="77" t="s">
        <v>261</v>
      </c>
      <c r="C148" s="67">
        <v>29000</v>
      </c>
      <c r="D148" s="67">
        <v>18961</v>
      </c>
      <c r="E148" s="67">
        <v>7788.1</v>
      </c>
      <c r="F148" s="138">
        <f t="shared" si="3"/>
        <v>41.074310426665264</v>
      </c>
      <c r="G148" s="67">
        <v>18961</v>
      </c>
      <c r="H148" s="67">
        <v>27000</v>
      </c>
      <c r="I148" s="138">
        <f t="shared" si="4"/>
        <v>142.39755287168398</v>
      </c>
    </row>
    <row r="149" spans="1:9" ht="30.75">
      <c r="A149" s="14"/>
      <c r="B149" s="42" t="s">
        <v>262</v>
      </c>
      <c r="C149" s="29">
        <v>0</v>
      </c>
      <c r="D149" s="29">
        <v>1883</v>
      </c>
      <c r="E149" s="29">
        <v>1482.11</v>
      </c>
      <c r="F149" s="138">
        <f t="shared" si="3"/>
        <v>78.71003717472118</v>
      </c>
      <c r="G149" s="29">
        <v>1883</v>
      </c>
      <c r="H149" s="29">
        <v>0</v>
      </c>
      <c r="I149" s="138">
        <f t="shared" si="4"/>
        <v>0</v>
      </c>
    </row>
    <row r="150" spans="1:9" ht="30.75">
      <c r="A150" s="14"/>
      <c r="B150" s="42" t="s">
        <v>263</v>
      </c>
      <c r="C150" s="29">
        <v>0</v>
      </c>
      <c r="D150" s="29">
        <v>31516</v>
      </c>
      <c r="E150" s="29">
        <v>31494.4</v>
      </c>
      <c r="F150" s="138">
        <f t="shared" si="3"/>
        <v>99.93146338367814</v>
      </c>
      <c r="G150" s="29">
        <v>31516</v>
      </c>
      <c r="H150" s="29">
        <v>0</v>
      </c>
      <c r="I150" s="138">
        <f t="shared" si="4"/>
        <v>0</v>
      </c>
    </row>
    <row r="151" spans="1:9" ht="45.75" customHeight="1">
      <c r="A151" s="14"/>
      <c r="B151" s="42" t="s">
        <v>269</v>
      </c>
      <c r="C151" s="29"/>
      <c r="D151" s="29">
        <v>20000</v>
      </c>
      <c r="E151" s="29">
        <v>0</v>
      </c>
      <c r="F151" s="138">
        <f t="shared" si="3"/>
        <v>0</v>
      </c>
      <c r="G151" s="29">
        <v>20000</v>
      </c>
      <c r="H151" s="29">
        <v>0</v>
      </c>
      <c r="I151" s="138">
        <f t="shared" si="4"/>
        <v>0</v>
      </c>
    </row>
    <row r="152" spans="1:9" ht="15" customHeight="1">
      <c r="A152" s="14"/>
      <c r="B152" s="42" t="s">
        <v>264</v>
      </c>
      <c r="C152" s="29">
        <v>2000</v>
      </c>
      <c r="D152" s="29">
        <v>2000</v>
      </c>
      <c r="E152" s="29">
        <v>0</v>
      </c>
      <c r="F152" s="138">
        <f t="shared" si="3"/>
        <v>0</v>
      </c>
      <c r="G152" s="29">
        <v>2000</v>
      </c>
      <c r="H152" s="29">
        <v>2000</v>
      </c>
      <c r="I152" s="138">
        <f t="shared" si="4"/>
        <v>100</v>
      </c>
    </row>
    <row r="153" spans="1:9" ht="30.75">
      <c r="A153" s="14"/>
      <c r="B153" s="42" t="s">
        <v>149</v>
      </c>
      <c r="C153" s="29">
        <v>660000</v>
      </c>
      <c r="D153" s="29">
        <v>659241</v>
      </c>
      <c r="E153" s="29">
        <v>384050.95</v>
      </c>
      <c r="F153" s="138">
        <f t="shared" si="3"/>
        <v>58.25653289161323</v>
      </c>
      <c r="G153" s="29">
        <v>659241</v>
      </c>
      <c r="H153" s="29">
        <v>560000</v>
      </c>
      <c r="I153" s="138">
        <f t="shared" si="4"/>
        <v>84.94617294737434</v>
      </c>
    </row>
    <row r="154" spans="1:9" ht="15.75">
      <c r="A154" s="14"/>
      <c r="B154" s="42" t="s">
        <v>265</v>
      </c>
      <c r="C154" s="29">
        <v>2000</v>
      </c>
      <c r="D154" s="29">
        <v>2000</v>
      </c>
      <c r="E154" s="29">
        <v>0</v>
      </c>
      <c r="F154" s="138">
        <f t="shared" si="3"/>
        <v>0</v>
      </c>
      <c r="G154" s="29">
        <v>0</v>
      </c>
      <c r="H154" s="29">
        <v>1000</v>
      </c>
      <c r="I154" s="138">
        <v>0</v>
      </c>
    </row>
    <row r="155" spans="1:9" ht="15.75">
      <c r="A155" s="14"/>
      <c r="B155" s="77" t="s">
        <v>266</v>
      </c>
      <c r="C155" s="67">
        <v>0</v>
      </c>
      <c r="D155" s="67">
        <v>78821</v>
      </c>
      <c r="E155" s="67">
        <v>23853.63</v>
      </c>
      <c r="F155" s="144">
        <f t="shared" si="3"/>
        <v>30.263039037819873</v>
      </c>
      <c r="G155" s="67">
        <v>78821</v>
      </c>
      <c r="H155" s="67">
        <v>31050</v>
      </c>
      <c r="I155" s="138">
        <f>(H155/G155)*100</f>
        <v>39.39305515027721</v>
      </c>
    </row>
    <row r="156" spans="1:9" ht="30.75">
      <c r="A156" s="14"/>
      <c r="B156" s="42" t="s">
        <v>267</v>
      </c>
      <c r="C156" s="29">
        <v>0</v>
      </c>
      <c r="D156" s="29">
        <v>69150</v>
      </c>
      <c r="E156" s="29">
        <v>11316</v>
      </c>
      <c r="F156" s="138">
        <f t="shared" si="3"/>
        <v>16.364425162689805</v>
      </c>
      <c r="G156" s="29">
        <v>11316</v>
      </c>
      <c r="H156" s="29">
        <v>57834</v>
      </c>
      <c r="I156" s="138">
        <f>(H156/G156)*100</f>
        <v>511.08165429480385</v>
      </c>
    </row>
    <row r="157" spans="1:9" ht="15.75">
      <c r="A157" s="14"/>
      <c r="B157" s="58" t="s">
        <v>103</v>
      </c>
      <c r="C157" s="26">
        <f>SUM(C159:C160)</f>
        <v>285000</v>
      </c>
      <c r="D157" s="26">
        <f>SUM(D159:D162)</f>
        <v>162615</v>
      </c>
      <c r="E157" s="26">
        <f>SUM(E159:E162)</f>
        <v>65311.77</v>
      </c>
      <c r="F157" s="142">
        <f t="shared" si="3"/>
        <v>40.163435107462405</v>
      </c>
      <c r="G157" s="26">
        <f>SUM(G159:G162)</f>
        <v>135530</v>
      </c>
      <c r="H157" s="26">
        <f>SUM(H159:H162)</f>
        <v>2892000</v>
      </c>
      <c r="I157" s="142">
        <f>(H157/G157)*100</f>
        <v>2133.8449051870434</v>
      </c>
    </row>
    <row r="158" spans="1:9" ht="15.75">
      <c r="A158" s="14"/>
      <c r="B158" s="54" t="s">
        <v>2</v>
      </c>
      <c r="C158" s="80"/>
      <c r="D158" s="80"/>
      <c r="E158" s="80"/>
      <c r="F158" s="80"/>
      <c r="G158" s="80"/>
      <c r="H158" s="80"/>
      <c r="I158" s="80"/>
    </row>
    <row r="159" spans="1:9" ht="15.75">
      <c r="A159" s="14"/>
      <c r="B159" s="79" t="s">
        <v>268</v>
      </c>
      <c r="C159" s="81">
        <f>195000+50000</f>
        <v>245000</v>
      </c>
      <c r="D159" s="81">
        <v>122615</v>
      </c>
      <c r="E159" s="81">
        <v>52396.77</v>
      </c>
      <c r="F159" s="138">
        <f>(E159/D159)*100</f>
        <v>42.732757003629246</v>
      </c>
      <c r="G159" s="81">
        <v>122615</v>
      </c>
      <c r="H159" s="81">
        <v>132000</v>
      </c>
      <c r="I159" s="138">
        <f>(H159/G159)*100</f>
        <v>107.65403906536721</v>
      </c>
    </row>
    <row r="160" spans="1:9" ht="30.75">
      <c r="A160" s="14"/>
      <c r="B160" s="128" t="s">
        <v>335</v>
      </c>
      <c r="C160" s="129">
        <v>40000</v>
      </c>
      <c r="D160" s="129">
        <v>40000</v>
      </c>
      <c r="E160" s="129">
        <v>12915</v>
      </c>
      <c r="F160" s="138">
        <f>(E160/D160)*100</f>
        <v>32.2875</v>
      </c>
      <c r="G160" s="129">
        <v>12915</v>
      </c>
      <c r="H160" s="129">
        <v>0</v>
      </c>
      <c r="I160" s="138">
        <f>(H160/G160)*100</f>
        <v>0</v>
      </c>
    </row>
    <row r="161" spans="1:9" ht="30.75">
      <c r="A161" s="14"/>
      <c r="B161" s="128" t="s">
        <v>271</v>
      </c>
      <c r="C161" s="129"/>
      <c r="D161" s="129">
        <v>0</v>
      </c>
      <c r="E161" s="129">
        <v>0</v>
      </c>
      <c r="F161" s="144">
        <v>0</v>
      </c>
      <c r="G161" s="129">
        <v>0</v>
      </c>
      <c r="H161" s="129">
        <f>3030000-300000</f>
        <v>2730000</v>
      </c>
      <c r="I161" s="138">
        <v>0</v>
      </c>
    </row>
    <row r="162" spans="1:9" ht="30.75">
      <c r="A162" s="14"/>
      <c r="B162" s="128" t="s">
        <v>272</v>
      </c>
      <c r="C162" s="129"/>
      <c r="D162" s="129">
        <v>0</v>
      </c>
      <c r="E162" s="129">
        <v>0</v>
      </c>
      <c r="F162" s="144">
        <v>0</v>
      </c>
      <c r="G162" s="129">
        <v>0</v>
      </c>
      <c r="H162" s="129">
        <v>30000</v>
      </c>
      <c r="I162" s="138">
        <v>0</v>
      </c>
    </row>
    <row r="163" spans="1:9" ht="11.25" customHeight="1">
      <c r="A163" s="14"/>
      <c r="B163" s="82"/>
      <c r="C163" s="32"/>
      <c r="D163" s="32"/>
      <c r="E163" s="32"/>
      <c r="F163" s="32"/>
      <c r="G163" s="32"/>
      <c r="H163" s="32"/>
      <c r="I163" s="32"/>
    </row>
    <row r="164" spans="1:9" ht="31.5">
      <c r="A164" s="38">
        <v>75075</v>
      </c>
      <c r="B164" s="83" t="s">
        <v>87</v>
      </c>
      <c r="C164" s="25">
        <f>SUM(C166,C169)</f>
        <v>170000</v>
      </c>
      <c r="D164" s="25">
        <f>SUM(D166,D169)</f>
        <v>165000</v>
      </c>
      <c r="E164" s="25">
        <f>SUM(E166,E169)</f>
        <v>89022.26</v>
      </c>
      <c r="F164" s="137">
        <f>(E164/D164)*100</f>
        <v>53.95288484848485</v>
      </c>
      <c r="G164" s="25">
        <f>SUM(G166,G169)</f>
        <v>165000</v>
      </c>
      <c r="H164" s="25">
        <f>SUM(H166,H169:H169)</f>
        <v>173300</v>
      </c>
      <c r="I164" s="137">
        <f>(H164/G164)*100</f>
        <v>105.03030303030303</v>
      </c>
    </row>
    <row r="165" spans="1:9" ht="15.75">
      <c r="A165" s="73"/>
      <c r="B165" s="54"/>
      <c r="C165" s="26"/>
      <c r="D165" s="26"/>
      <c r="E165" s="26"/>
      <c r="F165" s="26"/>
      <c r="G165" s="26"/>
      <c r="H165" s="26"/>
      <c r="I165" s="26"/>
    </row>
    <row r="166" spans="1:9" ht="15.75">
      <c r="A166" s="14"/>
      <c r="B166" s="43" t="s">
        <v>190</v>
      </c>
      <c r="C166" s="44">
        <v>160000</v>
      </c>
      <c r="D166" s="44">
        <v>155000</v>
      </c>
      <c r="E166" s="44">
        <v>89022.26</v>
      </c>
      <c r="F166" s="140">
        <f>(E166/D166)*100</f>
        <v>57.433716129032256</v>
      </c>
      <c r="G166" s="44">
        <v>155000</v>
      </c>
      <c r="H166" s="44">
        <f>178300-15000</f>
        <v>163300</v>
      </c>
      <c r="I166" s="140">
        <f>(H166/G166)*100</f>
        <v>105.35483870967741</v>
      </c>
    </row>
    <row r="167" spans="1:9" ht="15.75">
      <c r="A167" s="14"/>
      <c r="B167" s="41" t="s">
        <v>94</v>
      </c>
      <c r="C167" s="75"/>
      <c r="D167" s="75"/>
      <c r="E167" s="75"/>
      <c r="F167" s="75"/>
      <c r="G167" s="75"/>
      <c r="H167" s="75"/>
      <c r="I167" s="75"/>
    </row>
    <row r="168" spans="1:9" ht="15.75">
      <c r="A168" s="14"/>
      <c r="B168" s="27" t="s">
        <v>74</v>
      </c>
      <c r="C168" s="29">
        <v>41300</v>
      </c>
      <c r="D168" s="29">
        <v>11300</v>
      </c>
      <c r="E168" s="29">
        <v>10000</v>
      </c>
      <c r="F168" s="138">
        <f>(E168/D168)*100</f>
        <v>88.49557522123894</v>
      </c>
      <c r="G168" s="29">
        <v>11300</v>
      </c>
      <c r="H168" s="29">
        <v>11300</v>
      </c>
      <c r="I168" s="138">
        <f>(H168/G168)*100</f>
        <v>100</v>
      </c>
    </row>
    <row r="169" spans="1:9" ht="30.75">
      <c r="A169" s="39"/>
      <c r="B169" s="42" t="s">
        <v>270</v>
      </c>
      <c r="C169" s="29">
        <v>10000</v>
      </c>
      <c r="D169" s="29">
        <v>10000</v>
      </c>
      <c r="E169" s="29">
        <v>0</v>
      </c>
      <c r="F169" s="138">
        <f>(E169/D169)*100</f>
        <v>0</v>
      </c>
      <c r="G169" s="29">
        <v>10000</v>
      </c>
      <c r="H169" s="29">
        <f>45000-35000</f>
        <v>10000</v>
      </c>
      <c r="I169" s="138" t="e">
        <f>(#REF!/G169)*100</f>
        <v>#REF!</v>
      </c>
    </row>
    <row r="170" spans="1:9" ht="12.75" customHeight="1">
      <c r="A170" s="14"/>
      <c r="B170" s="14"/>
      <c r="C170" s="37"/>
      <c r="D170" s="37"/>
      <c r="E170" s="37"/>
      <c r="F170" s="37"/>
      <c r="G170" s="37"/>
      <c r="H170" s="37"/>
      <c r="I170" s="37"/>
    </row>
    <row r="171" spans="1:9" ht="15.75">
      <c r="A171" s="38">
        <v>75095</v>
      </c>
      <c r="B171" s="39" t="s">
        <v>23</v>
      </c>
      <c r="C171" s="25">
        <f>SUM(C173:C176)</f>
        <v>104400</v>
      </c>
      <c r="D171" s="25">
        <f>SUM(D173)</f>
        <v>137902.26</v>
      </c>
      <c r="E171" s="25">
        <f>SUM(E173)</f>
        <v>43420.38</v>
      </c>
      <c r="F171" s="137">
        <f>(E171/D171)*100</f>
        <v>31.486344023658493</v>
      </c>
      <c r="G171" s="25">
        <f>SUM(G173)</f>
        <v>79929.92</v>
      </c>
      <c r="H171" s="25">
        <f>SUM(H173)</f>
        <v>151561</v>
      </c>
      <c r="I171" s="137">
        <f>(H171/G171)*100</f>
        <v>189.61735480280726</v>
      </c>
    </row>
    <row r="172" spans="1:9" ht="12.75" customHeight="1">
      <c r="A172" s="14"/>
      <c r="B172" s="31"/>
      <c r="C172" s="40"/>
      <c r="D172" s="40"/>
      <c r="E172" s="40"/>
      <c r="F172" s="40"/>
      <c r="G172" s="40"/>
      <c r="H172" s="40"/>
      <c r="I172" s="40"/>
    </row>
    <row r="173" spans="1:9" ht="15.75">
      <c r="A173" s="14"/>
      <c r="B173" s="60" t="s">
        <v>347</v>
      </c>
      <c r="C173" s="29">
        <v>900</v>
      </c>
      <c r="D173" s="29">
        <v>137902.26</v>
      </c>
      <c r="E173" s="29">
        <v>43420.38</v>
      </c>
      <c r="F173" s="138">
        <f>(E173/D173)*100</f>
        <v>31.486344023658493</v>
      </c>
      <c r="G173" s="29">
        <v>79929.92</v>
      </c>
      <c r="H173" s="29">
        <v>151561</v>
      </c>
      <c r="I173" s="138">
        <f>(H173/G173)*100</f>
        <v>189.61735480280726</v>
      </c>
    </row>
    <row r="174" spans="1:9" ht="15.75">
      <c r="A174" s="14"/>
      <c r="B174" s="157" t="s">
        <v>93</v>
      </c>
      <c r="C174" s="62"/>
      <c r="D174" s="62"/>
      <c r="E174" s="62"/>
      <c r="F174" s="143"/>
      <c r="G174" s="62"/>
      <c r="H174" s="62"/>
      <c r="I174" s="143"/>
    </row>
    <row r="175" spans="1:9" ht="30.75">
      <c r="A175" s="14"/>
      <c r="B175" s="43" t="s">
        <v>248</v>
      </c>
      <c r="C175" s="44">
        <v>61500</v>
      </c>
      <c r="D175" s="44">
        <v>61500</v>
      </c>
      <c r="E175" s="44">
        <v>9225</v>
      </c>
      <c r="F175" s="140">
        <f>(E175/D175)*100</f>
        <v>15</v>
      </c>
      <c r="G175" s="44">
        <v>9225</v>
      </c>
      <c r="H175" s="44">
        <v>52275</v>
      </c>
      <c r="I175" s="140">
        <f>(H175/G175)*100</f>
        <v>566.6666666666667</v>
      </c>
    </row>
    <row r="176" spans="1:9" ht="15.75">
      <c r="A176" s="39"/>
      <c r="B176" s="42" t="s">
        <v>172</v>
      </c>
      <c r="C176" s="29">
        <v>42000</v>
      </c>
      <c r="D176" s="29">
        <v>42000</v>
      </c>
      <c r="E176" s="29">
        <v>24345.01</v>
      </c>
      <c r="F176" s="138">
        <f>(E176/D176)*100</f>
        <v>57.96430952380952</v>
      </c>
      <c r="G176" s="29">
        <v>36302.66</v>
      </c>
      <c r="H176" s="29">
        <f>40000-5000+2000</f>
        <v>37000</v>
      </c>
      <c r="I176" s="138">
        <f>(H176/G176)*100</f>
        <v>101.92090607134571</v>
      </c>
    </row>
    <row r="177" spans="1:9" ht="12.75" customHeight="1">
      <c r="A177" s="31"/>
      <c r="B177" s="31"/>
      <c r="C177" s="40"/>
      <c r="D177" s="40"/>
      <c r="E177" s="40"/>
      <c r="F177" s="40"/>
      <c r="G177" s="40"/>
      <c r="H177" s="40"/>
      <c r="I177" s="40"/>
    </row>
    <row r="178" spans="1:9" ht="48" thickBot="1">
      <c r="A178" s="34">
        <v>751</v>
      </c>
      <c r="B178" s="84" t="s">
        <v>150</v>
      </c>
      <c r="C178" s="36">
        <f>SUM(C180)</f>
        <v>6439</v>
      </c>
      <c r="D178" s="36">
        <f>SUM(D180)</f>
        <v>6439</v>
      </c>
      <c r="E178" s="36">
        <f>SUM(E180)</f>
        <v>4824</v>
      </c>
      <c r="F178" s="19">
        <f>(E178/D178)*100</f>
        <v>74.91846560024848</v>
      </c>
      <c r="G178" s="36">
        <f>SUM(G180)</f>
        <v>6439</v>
      </c>
      <c r="H178" s="36">
        <f>SUM(H180)</f>
        <v>6385</v>
      </c>
      <c r="I178" s="19">
        <f>(H178/G178)*100</f>
        <v>99.16136045969871</v>
      </c>
    </row>
    <row r="179" spans="1:9" ht="12.75" customHeight="1" thickTop="1">
      <c r="A179" s="14"/>
      <c r="B179" s="14"/>
      <c r="C179" s="26"/>
      <c r="D179" s="26"/>
      <c r="E179" s="26"/>
      <c r="F179" s="26"/>
      <c r="G179" s="26"/>
      <c r="H179" s="26"/>
      <c r="I179" s="26"/>
    </row>
    <row r="180" spans="1:9" ht="31.5">
      <c r="A180" s="38">
        <v>75101</v>
      </c>
      <c r="B180" s="68" t="s">
        <v>119</v>
      </c>
      <c r="C180" s="25">
        <f>SUM(C182)</f>
        <v>6439</v>
      </c>
      <c r="D180" s="25">
        <f>SUM(D182)</f>
        <v>6439</v>
      </c>
      <c r="E180" s="25">
        <f>SUM(E182)</f>
        <v>4824</v>
      </c>
      <c r="F180" s="137">
        <f>(E180/D180)*100</f>
        <v>74.91846560024848</v>
      </c>
      <c r="G180" s="25">
        <f>SUM(G182)</f>
        <v>6439</v>
      </c>
      <c r="H180" s="25">
        <f>SUM(H182)</f>
        <v>6385</v>
      </c>
      <c r="I180" s="137">
        <f>(H180/G180)*100</f>
        <v>99.16136045969871</v>
      </c>
    </row>
    <row r="181" spans="1:9" ht="11.25" customHeight="1">
      <c r="A181" s="14"/>
      <c r="B181" s="14"/>
      <c r="C181" s="40"/>
      <c r="D181" s="40"/>
      <c r="E181" s="40"/>
      <c r="F181" s="40"/>
      <c r="G181" s="40"/>
      <c r="H181" s="40"/>
      <c r="I181" s="40"/>
    </row>
    <row r="182" spans="1:9" ht="45">
      <c r="A182" s="27"/>
      <c r="B182" s="42" t="s">
        <v>192</v>
      </c>
      <c r="C182" s="29">
        <v>6439</v>
      </c>
      <c r="D182" s="29">
        <v>6439</v>
      </c>
      <c r="E182" s="29">
        <v>4824</v>
      </c>
      <c r="F182" s="138">
        <f>(E182/D182)*100</f>
        <v>74.91846560024848</v>
      </c>
      <c r="G182" s="29">
        <v>6439</v>
      </c>
      <c r="H182" s="29">
        <v>6385</v>
      </c>
      <c r="I182" s="138">
        <f>(H182/G182)*100</f>
        <v>99.16136045969871</v>
      </c>
    </row>
    <row r="183" spans="1:9" ht="12.75" customHeight="1">
      <c r="A183" s="31"/>
      <c r="B183" s="51"/>
      <c r="C183" s="40"/>
      <c r="D183" s="40"/>
      <c r="E183" s="40"/>
      <c r="F183" s="40"/>
      <c r="G183" s="40"/>
      <c r="H183" s="40"/>
      <c r="I183" s="40"/>
    </row>
    <row r="184" spans="1:9" ht="16.5" thickBot="1">
      <c r="A184" s="34">
        <v>752</v>
      </c>
      <c r="B184" s="84" t="s">
        <v>97</v>
      </c>
      <c r="C184" s="36">
        <f>SUM(C186)</f>
        <v>3000</v>
      </c>
      <c r="D184" s="36">
        <f>SUM(D186)</f>
        <v>3000</v>
      </c>
      <c r="E184" s="36">
        <f>SUM(E186)</f>
        <v>1999.9</v>
      </c>
      <c r="F184" s="19">
        <f>(E184/D184)*100</f>
        <v>66.66333333333334</v>
      </c>
      <c r="G184" s="36">
        <f>SUM(G186)</f>
        <v>2999.9</v>
      </c>
      <c r="H184" s="36">
        <f>SUM(H186)</f>
        <v>4100</v>
      </c>
      <c r="I184" s="19">
        <f>(H184/G184)*100</f>
        <v>136.67122237407915</v>
      </c>
    </row>
    <row r="185" spans="1:9" ht="12.75" customHeight="1" thickTop="1">
      <c r="A185" s="14"/>
      <c r="B185" s="14"/>
      <c r="C185" s="26"/>
      <c r="D185" s="26"/>
      <c r="E185" s="26"/>
      <c r="F185" s="26"/>
      <c r="G185" s="26"/>
      <c r="H185" s="26"/>
      <c r="I185" s="26"/>
    </row>
    <row r="186" spans="1:9" ht="15.75">
      <c r="A186" s="38">
        <v>75212</v>
      </c>
      <c r="B186" s="68" t="s">
        <v>98</v>
      </c>
      <c r="C186" s="25">
        <f>SUM(C188:C189)</f>
        <v>3000</v>
      </c>
      <c r="D186" s="25">
        <f>SUM(D188:D189)</f>
        <v>3000</v>
      </c>
      <c r="E186" s="25">
        <f>SUM(E188:E189)</f>
        <v>1999.9</v>
      </c>
      <c r="F186" s="137">
        <f>(E186/D186)*100</f>
        <v>66.66333333333334</v>
      </c>
      <c r="G186" s="25">
        <f>SUM(G188:G189)</f>
        <v>2999.9</v>
      </c>
      <c r="H186" s="25">
        <f>SUM(H188:H189)</f>
        <v>4100</v>
      </c>
      <c r="I186" s="137">
        <f>(H186/G186)*100</f>
        <v>136.67122237407915</v>
      </c>
    </row>
    <row r="187" spans="1:9" ht="9.75" customHeight="1">
      <c r="A187" s="14"/>
      <c r="B187" s="14"/>
      <c r="C187" s="40"/>
      <c r="D187" s="40"/>
      <c r="E187" s="40"/>
      <c r="F187" s="40"/>
      <c r="G187" s="40"/>
      <c r="H187" s="40"/>
      <c r="I187" s="40"/>
    </row>
    <row r="188" spans="1:9" ht="15">
      <c r="A188" s="41"/>
      <c r="B188" s="43" t="s">
        <v>273</v>
      </c>
      <c r="C188" s="44">
        <v>2000</v>
      </c>
      <c r="D188" s="44">
        <v>2000</v>
      </c>
      <c r="E188" s="44">
        <v>1999.9</v>
      </c>
      <c r="F188" s="140">
        <f>(E188/D188)*100</f>
        <v>99.995</v>
      </c>
      <c r="G188" s="44">
        <v>1999.9</v>
      </c>
      <c r="H188" s="44">
        <v>3100</v>
      </c>
      <c r="I188" s="138">
        <f>(H188/G188)*100</f>
        <v>155.00775038751937</v>
      </c>
    </row>
    <row r="189" spans="1:9" ht="15">
      <c r="A189" s="27"/>
      <c r="B189" s="77" t="s">
        <v>274</v>
      </c>
      <c r="C189" s="67">
        <v>1000</v>
      </c>
      <c r="D189" s="67">
        <v>1000</v>
      </c>
      <c r="E189" s="67">
        <v>0</v>
      </c>
      <c r="F189" s="144">
        <f>(E189/D189)*100</f>
        <v>0</v>
      </c>
      <c r="G189" s="67">
        <v>1000</v>
      </c>
      <c r="H189" s="67">
        <v>1000</v>
      </c>
      <c r="I189" s="138">
        <f>(H189/G189)*100</f>
        <v>100</v>
      </c>
    </row>
    <row r="190" spans="1:9" ht="15">
      <c r="A190" s="41"/>
      <c r="B190" s="53"/>
      <c r="C190" s="44"/>
      <c r="D190" s="44"/>
      <c r="E190" s="44"/>
      <c r="F190" s="44"/>
      <c r="G190" s="44"/>
      <c r="H190" s="44"/>
      <c r="I190" s="44"/>
    </row>
    <row r="191" spans="1:9" ht="32.25" thickBot="1">
      <c r="A191" s="34">
        <v>754</v>
      </c>
      <c r="B191" s="84" t="s">
        <v>81</v>
      </c>
      <c r="C191" s="36">
        <f>SUM(C193,C197,C202)</f>
        <v>665500</v>
      </c>
      <c r="D191" s="36">
        <f>SUM(D193,D197,D202)</f>
        <v>665500</v>
      </c>
      <c r="E191" s="36">
        <f>SUM(E193,E197,E202)</f>
        <v>439309.71</v>
      </c>
      <c r="F191" s="19">
        <f>(E191/D191)*100</f>
        <v>66.01197746055597</v>
      </c>
      <c r="G191" s="36">
        <f>SUM(G193,G197,G202)</f>
        <v>592003.1799999999</v>
      </c>
      <c r="H191" s="36">
        <f>SUM(H193,H197,H202)</f>
        <v>660900</v>
      </c>
      <c r="I191" s="19">
        <f>(H191/G191)*100</f>
        <v>111.63791383688178</v>
      </c>
    </row>
    <row r="192" spans="1:9" ht="12.75" customHeight="1" thickTop="1">
      <c r="A192" s="14"/>
      <c r="B192" s="14"/>
      <c r="C192" s="87" t="s">
        <v>9</v>
      </c>
      <c r="D192" s="87" t="s">
        <v>9</v>
      </c>
      <c r="E192" s="87" t="s">
        <v>9</v>
      </c>
      <c r="F192" s="87" t="s">
        <v>9</v>
      </c>
      <c r="G192" s="87" t="s">
        <v>9</v>
      </c>
      <c r="H192" s="87" t="s">
        <v>9</v>
      </c>
      <c r="I192" s="87" t="s">
        <v>9</v>
      </c>
    </row>
    <row r="193" spans="1:9" ht="15.75">
      <c r="A193" s="38">
        <v>75414</v>
      </c>
      <c r="B193" s="39" t="s">
        <v>40</v>
      </c>
      <c r="C193" s="25">
        <f>SUM(C195:C195)</f>
        <v>4000</v>
      </c>
      <c r="D193" s="25">
        <f>SUM(D195:D195)</f>
        <v>4000</v>
      </c>
      <c r="E193" s="25">
        <f>SUM(E195:E195)</f>
        <v>103.9</v>
      </c>
      <c r="F193" s="137">
        <f>(E193/D193)*100</f>
        <v>2.5975</v>
      </c>
      <c r="G193" s="25">
        <f>SUM(G195:G195)</f>
        <v>4000</v>
      </c>
      <c r="H193" s="25">
        <f>SUM(H195:H195)</f>
        <v>1400</v>
      </c>
      <c r="I193" s="137">
        <f>(H193/G193)*100</f>
        <v>35</v>
      </c>
    </row>
    <row r="194" spans="1:9" ht="9.75" customHeight="1">
      <c r="A194" s="14"/>
      <c r="B194" s="31"/>
      <c r="C194" s="33"/>
      <c r="D194" s="33"/>
      <c r="E194" s="33"/>
      <c r="F194" s="33"/>
      <c r="G194" s="33"/>
      <c r="H194" s="33"/>
      <c r="I194" s="33"/>
    </row>
    <row r="195" spans="1:9" ht="60.75">
      <c r="A195" s="39"/>
      <c r="B195" s="42" t="s">
        <v>275</v>
      </c>
      <c r="C195" s="29">
        <v>4000</v>
      </c>
      <c r="D195" s="29">
        <v>4000</v>
      </c>
      <c r="E195" s="29">
        <v>103.9</v>
      </c>
      <c r="F195" s="138">
        <f>(E195/D195)*100</f>
        <v>2.5975</v>
      </c>
      <c r="G195" s="29">
        <v>4000</v>
      </c>
      <c r="H195" s="29">
        <f>3400-2000</f>
        <v>1400</v>
      </c>
      <c r="I195" s="138">
        <f>(H195/G195)*100</f>
        <v>35</v>
      </c>
    </row>
    <row r="196" spans="1:9" ht="11.25" customHeight="1">
      <c r="A196" s="31"/>
      <c r="B196" s="51"/>
      <c r="C196" s="33"/>
      <c r="D196" s="33"/>
      <c r="E196" s="33"/>
      <c r="F196" s="33"/>
      <c r="G196" s="33"/>
      <c r="H196" s="33"/>
      <c r="I196" s="33"/>
    </row>
    <row r="197" spans="1:9" ht="15.75">
      <c r="A197" s="38">
        <v>75416</v>
      </c>
      <c r="B197" s="39" t="s">
        <v>123</v>
      </c>
      <c r="C197" s="25">
        <f>SUM(C199:C200)</f>
        <v>657500</v>
      </c>
      <c r="D197" s="25">
        <f>SUM(D199:D200)</f>
        <v>657500</v>
      </c>
      <c r="E197" s="25">
        <f>SUM(E199:E200)</f>
        <v>438221.81</v>
      </c>
      <c r="F197" s="137">
        <f>(E197/D197)*100</f>
        <v>66.64970494296578</v>
      </c>
      <c r="G197" s="25">
        <f>SUM(G199:G200)</f>
        <v>585003.1799999999</v>
      </c>
      <c r="H197" s="25">
        <f>SUM(H199:H200)</f>
        <v>658500</v>
      </c>
      <c r="I197" s="137">
        <f>(H197/G197)*100</f>
        <v>112.56349068051222</v>
      </c>
    </row>
    <row r="198" spans="1:9" ht="15.75">
      <c r="A198" s="31"/>
      <c r="B198" s="88"/>
      <c r="C198" s="33"/>
      <c r="D198" s="33"/>
      <c r="E198" s="33"/>
      <c r="F198" s="33"/>
      <c r="G198" s="33"/>
      <c r="H198" s="33"/>
      <c r="I198" s="33"/>
    </row>
    <row r="199" spans="1:9" ht="15.75">
      <c r="A199" s="14"/>
      <c r="B199" s="57" t="s">
        <v>152</v>
      </c>
      <c r="C199" s="29">
        <v>580000</v>
      </c>
      <c r="D199" s="29">
        <v>580000</v>
      </c>
      <c r="E199" s="29">
        <v>374696.67</v>
      </c>
      <c r="F199" s="138">
        <f>(E199/D199)*100</f>
        <v>64.60287413793104</v>
      </c>
      <c r="G199" s="29">
        <v>507592</v>
      </c>
      <c r="H199" s="29">
        <v>581000</v>
      </c>
      <c r="I199" s="138">
        <f>(H199/G199)*100</f>
        <v>114.46200885750761</v>
      </c>
    </row>
    <row r="200" spans="1:9" ht="15.75">
      <c r="A200" s="14"/>
      <c r="B200" s="27" t="s">
        <v>153</v>
      </c>
      <c r="C200" s="29">
        <v>77500</v>
      </c>
      <c r="D200" s="29">
        <v>77500</v>
      </c>
      <c r="E200" s="29">
        <v>63525.14</v>
      </c>
      <c r="F200" s="138">
        <f>(E200/D200)*100</f>
        <v>81.96792258064517</v>
      </c>
      <c r="G200" s="29">
        <v>77411.18</v>
      </c>
      <c r="H200" s="29">
        <f>102500-25000</f>
        <v>77500</v>
      </c>
      <c r="I200" s="138">
        <f>(H200/G200)*100</f>
        <v>100.11473794870457</v>
      </c>
    </row>
    <row r="201" spans="1:9" ht="12" customHeight="1">
      <c r="A201" s="14"/>
      <c r="B201" s="14"/>
      <c r="C201" s="33" t="s">
        <v>9</v>
      </c>
      <c r="D201" s="33" t="s">
        <v>9</v>
      </c>
      <c r="E201" s="33" t="s">
        <v>9</v>
      </c>
      <c r="F201" s="33" t="s">
        <v>9</v>
      </c>
      <c r="G201" s="33" t="s">
        <v>9</v>
      </c>
      <c r="H201" s="33" t="s">
        <v>9</v>
      </c>
      <c r="I201" s="33" t="s">
        <v>9</v>
      </c>
    </row>
    <row r="202" spans="1:9" ht="15.75">
      <c r="A202" s="38">
        <v>75421</v>
      </c>
      <c r="B202" s="39" t="s">
        <v>151</v>
      </c>
      <c r="C202" s="25">
        <f>SUM(C204:C206)</f>
        <v>4000</v>
      </c>
      <c r="D202" s="25">
        <f>SUM(D204:D206)</f>
        <v>4000</v>
      </c>
      <c r="E202" s="25">
        <f>SUM(E204:E206)</f>
        <v>984</v>
      </c>
      <c r="F202" s="137">
        <f>(E202/D202)*100</f>
        <v>24.6</v>
      </c>
      <c r="G202" s="25">
        <f>SUM(G204:G206)</f>
        <v>3000</v>
      </c>
      <c r="H202" s="25">
        <f>SUM(H204:H206)</f>
        <v>1000</v>
      </c>
      <c r="I202" s="137">
        <f>(H202/G202)*100</f>
        <v>33.33333333333333</v>
      </c>
    </row>
    <row r="203" spans="1:9" ht="12" customHeight="1">
      <c r="A203" s="14"/>
      <c r="B203" s="31"/>
      <c r="C203" s="33"/>
      <c r="D203" s="33"/>
      <c r="E203" s="33"/>
      <c r="F203" s="33"/>
      <c r="G203" s="33"/>
      <c r="H203" s="33"/>
      <c r="I203" s="33"/>
    </row>
    <row r="204" spans="1:9" ht="46.5">
      <c r="A204" s="14"/>
      <c r="B204" s="68" t="s">
        <v>276</v>
      </c>
      <c r="C204" s="29">
        <v>2000</v>
      </c>
      <c r="D204" s="29">
        <v>2000</v>
      </c>
      <c r="E204" s="29">
        <v>0</v>
      </c>
      <c r="F204" s="138">
        <f>(E204/D204)*100</f>
        <v>0</v>
      </c>
      <c r="G204" s="29">
        <v>2000</v>
      </c>
      <c r="H204" s="29">
        <f>2000-2000</f>
        <v>0</v>
      </c>
      <c r="I204" s="138">
        <f>(H204/G204)*100</f>
        <v>0</v>
      </c>
    </row>
    <row r="205" spans="1:9" ht="48" customHeight="1">
      <c r="A205" s="14"/>
      <c r="B205" s="42" t="s">
        <v>277</v>
      </c>
      <c r="C205" s="29">
        <v>2000</v>
      </c>
      <c r="D205" s="29">
        <v>1000</v>
      </c>
      <c r="E205" s="29">
        <v>0</v>
      </c>
      <c r="F205" s="138">
        <f>(E205/D205)*100</f>
        <v>0</v>
      </c>
      <c r="G205" s="29">
        <v>0</v>
      </c>
      <c r="H205" s="29">
        <v>0</v>
      </c>
      <c r="I205" s="138">
        <v>0</v>
      </c>
    </row>
    <row r="206" spans="1:9" ht="30.75">
      <c r="A206" s="39"/>
      <c r="B206" s="42" t="s">
        <v>212</v>
      </c>
      <c r="C206" s="29">
        <v>0</v>
      </c>
      <c r="D206" s="29">
        <v>1000</v>
      </c>
      <c r="E206" s="29">
        <v>984</v>
      </c>
      <c r="F206" s="138">
        <f>(E206/D206)*100</f>
        <v>98.4</v>
      </c>
      <c r="G206" s="29">
        <v>1000</v>
      </c>
      <c r="H206" s="29">
        <v>1000</v>
      </c>
      <c r="I206" s="138">
        <f>(H206/G206)*100</f>
        <v>100</v>
      </c>
    </row>
    <row r="207" spans="1:9" ht="16.5" thickBot="1">
      <c r="A207" s="149"/>
      <c r="B207" s="152"/>
      <c r="C207" s="150"/>
      <c r="D207" s="150"/>
      <c r="E207" s="150"/>
      <c r="F207" s="151"/>
      <c r="G207" s="150"/>
      <c r="H207" s="150"/>
      <c r="I207" s="151"/>
    </row>
    <row r="208" spans="1:9" ht="15.75">
      <c r="A208" s="2"/>
      <c r="B208" s="3"/>
      <c r="C208" s="4"/>
      <c r="D208" s="4"/>
      <c r="E208" s="4"/>
      <c r="F208" s="4"/>
      <c r="G208" s="4"/>
      <c r="H208" s="4"/>
      <c r="I208" s="4"/>
    </row>
    <row r="209" spans="1:9" ht="15.75">
      <c r="A209" s="5" t="s">
        <v>19</v>
      </c>
      <c r="B209" s="6" t="s">
        <v>0</v>
      </c>
      <c r="C209" s="7" t="s">
        <v>205</v>
      </c>
      <c r="D209" s="7" t="s">
        <v>205</v>
      </c>
      <c r="E209" s="7" t="s">
        <v>207</v>
      </c>
      <c r="F209" s="7" t="s">
        <v>208</v>
      </c>
      <c r="G209" s="7" t="s">
        <v>227</v>
      </c>
      <c r="H209" s="7" t="s">
        <v>228</v>
      </c>
      <c r="I209" s="7" t="s">
        <v>208</v>
      </c>
    </row>
    <row r="210" spans="1:9" ht="15.75">
      <c r="A210" s="5" t="s">
        <v>21</v>
      </c>
      <c r="B210" s="8"/>
      <c r="C210" s="7" t="s">
        <v>206</v>
      </c>
      <c r="D210" s="7" t="s">
        <v>226</v>
      </c>
      <c r="E210" s="7" t="s">
        <v>226</v>
      </c>
      <c r="F210" s="7" t="s">
        <v>209</v>
      </c>
      <c r="G210" s="7" t="s">
        <v>229</v>
      </c>
      <c r="H210" s="7" t="s">
        <v>231</v>
      </c>
      <c r="I210" s="7" t="s">
        <v>209</v>
      </c>
    </row>
    <row r="211" spans="1:9" ht="16.5" thickBot="1">
      <c r="A211" s="9"/>
      <c r="B211" s="10"/>
      <c r="C211" s="11" t="s">
        <v>186</v>
      </c>
      <c r="D211" s="11" t="s">
        <v>186</v>
      </c>
      <c r="E211" s="11" t="s">
        <v>186</v>
      </c>
      <c r="F211" s="11"/>
      <c r="G211" s="11" t="s">
        <v>230</v>
      </c>
      <c r="H211" s="11" t="s">
        <v>232</v>
      </c>
      <c r="I211" s="11"/>
    </row>
    <row r="212" spans="1:9" ht="15.75">
      <c r="A212" s="31"/>
      <c r="B212" s="88"/>
      <c r="C212" s="33"/>
      <c r="D212" s="33"/>
      <c r="E212" s="33"/>
      <c r="F212" s="33"/>
      <c r="G212" s="33"/>
      <c r="H212" s="33"/>
      <c r="I212" s="33"/>
    </row>
    <row r="213" spans="1:9" ht="16.5" thickBot="1">
      <c r="A213" s="34">
        <v>757</v>
      </c>
      <c r="B213" s="89" t="s">
        <v>41</v>
      </c>
      <c r="C213" s="36">
        <f>SUM(C215)</f>
        <v>1638300</v>
      </c>
      <c r="D213" s="36">
        <f>SUM(D215)</f>
        <v>1638300</v>
      </c>
      <c r="E213" s="36">
        <f>SUM(E215)</f>
        <v>855366.7</v>
      </c>
      <c r="F213" s="19">
        <f>(E213/D213)*100</f>
        <v>52.210626869315746</v>
      </c>
      <c r="G213" s="36">
        <f>SUM(G215)</f>
        <v>1238300</v>
      </c>
      <c r="H213" s="36">
        <f>SUM(H215)</f>
        <v>1208300</v>
      </c>
      <c r="I213" s="19">
        <f>(H213/G213)*100</f>
        <v>97.57732375030284</v>
      </c>
    </row>
    <row r="214" spans="1:9" ht="16.5" thickTop="1">
      <c r="A214" s="14"/>
      <c r="B214" s="46"/>
      <c r="C214" s="26"/>
      <c r="D214" s="26"/>
      <c r="E214" s="26"/>
      <c r="F214" s="26"/>
      <c r="G214" s="26"/>
      <c r="H214" s="26"/>
      <c r="I214" s="26"/>
    </row>
    <row r="215" spans="1:9" ht="47.25">
      <c r="A215" s="38">
        <v>75702</v>
      </c>
      <c r="B215" s="90" t="s">
        <v>111</v>
      </c>
      <c r="C215" s="25">
        <f>SUM(C217)</f>
        <v>1638300</v>
      </c>
      <c r="D215" s="25">
        <f>SUM(D217)</f>
        <v>1638300</v>
      </c>
      <c r="E215" s="25">
        <f>SUM(E217)</f>
        <v>855366.7</v>
      </c>
      <c r="F215" s="137">
        <f>(E215/D215)*100</f>
        <v>52.210626869315746</v>
      </c>
      <c r="G215" s="25">
        <f>SUM(G217)</f>
        <v>1238300</v>
      </c>
      <c r="H215" s="25">
        <f>SUM(H217)</f>
        <v>1208300</v>
      </c>
      <c r="I215" s="137">
        <f>(H215/G215)*100</f>
        <v>97.57732375030284</v>
      </c>
    </row>
    <row r="216" spans="1:9" ht="15.75">
      <c r="A216" s="14"/>
      <c r="B216" s="88"/>
      <c r="C216" s="26"/>
      <c r="D216" s="26"/>
      <c r="E216" s="26"/>
      <c r="F216" s="26"/>
      <c r="G216" s="26"/>
      <c r="H216" s="26"/>
      <c r="I216" s="26"/>
    </row>
    <row r="217" spans="1:9" ht="15" customHeight="1">
      <c r="A217" s="39"/>
      <c r="B217" s="52" t="s">
        <v>154</v>
      </c>
      <c r="C217" s="29">
        <v>1638300</v>
      </c>
      <c r="D217" s="29">
        <v>1638300</v>
      </c>
      <c r="E217" s="29">
        <v>855366.7</v>
      </c>
      <c r="F217" s="138">
        <f>(E217/D217)*100</f>
        <v>52.210626869315746</v>
      </c>
      <c r="G217" s="29">
        <v>1238300</v>
      </c>
      <c r="H217" s="29">
        <f>1238300-30000</f>
        <v>1208300</v>
      </c>
      <c r="I217" s="138">
        <f>(H217/G217)*100</f>
        <v>97.57732375030284</v>
      </c>
    </row>
    <row r="218" spans="1:9" ht="15" customHeight="1">
      <c r="A218" s="30"/>
      <c r="B218" s="85"/>
      <c r="C218" s="70"/>
      <c r="D218" s="70"/>
      <c r="E218" s="70"/>
      <c r="F218" s="147"/>
      <c r="G218" s="70"/>
      <c r="H218" s="70"/>
      <c r="I218" s="147"/>
    </row>
    <row r="219" spans="1:9" ht="15.75">
      <c r="A219" s="31"/>
      <c r="B219" s="88"/>
      <c r="C219" s="33"/>
      <c r="D219" s="33"/>
      <c r="E219" s="33"/>
      <c r="F219" s="33"/>
      <c r="G219" s="33"/>
      <c r="H219" s="33"/>
      <c r="I219" s="33"/>
    </row>
    <row r="220" spans="1:9" ht="16.5" thickBot="1">
      <c r="A220" s="34">
        <v>758</v>
      </c>
      <c r="B220" s="89" t="s">
        <v>42</v>
      </c>
      <c r="C220" s="36">
        <f>SUM(C222,C226,C230)</f>
        <v>381000</v>
      </c>
      <c r="D220" s="36">
        <f>SUM(D222,D226,D230)</f>
        <v>360386</v>
      </c>
      <c r="E220" s="36">
        <f>SUM(E222,E226,E230)</f>
        <v>-1102.32</v>
      </c>
      <c r="F220" s="19">
        <f>(E220/D220)*100</f>
        <v>-0.3058720372045529</v>
      </c>
      <c r="G220" s="36">
        <f>SUM(G222,G226,G230)</f>
        <v>0</v>
      </c>
      <c r="H220" s="36">
        <f>SUM(H222,H226,H230)</f>
        <v>383000</v>
      </c>
      <c r="I220" s="19">
        <v>0</v>
      </c>
    </row>
    <row r="221" spans="1:9" ht="16.5" thickTop="1">
      <c r="A221" s="73"/>
      <c r="B221" s="46"/>
      <c r="C221" s="26"/>
      <c r="D221" s="26"/>
      <c r="E221" s="26"/>
      <c r="F221" s="142"/>
      <c r="G221" s="26"/>
      <c r="H221" s="26"/>
      <c r="I221" s="142"/>
    </row>
    <row r="222" spans="1:9" ht="15.75">
      <c r="A222" s="38">
        <v>75814</v>
      </c>
      <c r="B222" s="92" t="s">
        <v>213</v>
      </c>
      <c r="C222" s="25">
        <f>SUM(C224)</f>
        <v>0</v>
      </c>
      <c r="D222" s="25">
        <f>SUM(D224)</f>
        <v>0</v>
      </c>
      <c r="E222" s="25">
        <f>SUM(E224)</f>
        <v>-911.27</v>
      </c>
      <c r="F222" s="137">
        <v>0</v>
      </c>
      <c r="G222" s="25">
        <f>SUM(G224)</f>
        <v>0</v>
      </c>
      <c r="H222" s="25">
        <f>SUM(H224)</f>
        <v>0</v>
      </c>
      <c r="I222" s="137">
        <v>0</v>
      </c>
    </row>
    <row r="223" spans="1:9" ht="15.75">
      <c r="A223" s="73"/>
      <c r="B223" s="46"/>
      <c r="C223" s="26"/>
      <c r="D223" s="26"/>
      <c r="E223" s="26"/>
      <c r="F223" s="142"/>
      <c r="G223" s="26"/>
      <c r="H223" s="26"/>
      <c r="I223" s="142"/>
    </row>
    <row r="224" spans="1:9" ht="15.75">
      <c r="A224" s="73"/>
      <c r="B224" s="57" t="s">
        <v>214</v>
      </c>
      <c r="C224" s="29">
        <v>0</v>
      </c>
      <c r="D224" s="29">
        <v>0</v>
      </c>
      <c r="E224" s="29">
        <v>-911.27</v>
      </c>
      <c r="F224" s="138">
        <v>0</v>
      </c>
      <c r="G224" s="29">
        <v>0</v>
      </c>
      <c r="H224" s="29">
        <v>0</v>
      </c>
      <c r="I224" s="138">
        <v>0</v>
      </c>
    </row>
    <row r="225" spans="1:9" ht="15.75">
      <c r="A225" s="73"/>
      <c r="B225" s="56"/>
      <c r="C225" s="44"/>
      <c r="D225" s="44"/>
      <c r="E225" s="44"/>
      <c r="F225" s="140"/>
      <c r="G225" s="44"/>
      <c r="H225" s="44"/>
      <c r="I225" s="140"/>
    </row>
    <row r="226" spans="1:9" ht="15.75">
      <c r="A226" s="38">
        <v>75815</v>
      </c>
      <c r="B226" s="97" t="s">
        <v>215</v>
      </c>
      <c r="C226" s="125">
        <f>SUM(C228)</f>
        <v>0</v>
      </c>
      <c r="D226" s="125">
        <f>SUM(D228)</f>
        <v>0</v>
      </c>
      <c r="E226" s="125">
        <f>SUM(E228)</f>
        <v>-191.05</v>
      </c>
      <c r="F226" s="137">
        <v>0</v>
      </c>
      <c r="G226" s="125">
        <f>SUM(G228)</f>
        <v>0</v>
      </c>
      <c r="H226" s="125">
        <f>SUM(H228)</f>
        <v>0</v>
      </c>
      <c r="I226" s="137">
        <v>0</v>
      </c>
    </row>
    <row r="227" spans="1:9" ht="15.75">
      <c r="A227" s="73"/>
      <c r="B227" s="56"/>
      <c r="C227" s="44"/>
      <c r="D227" s="44"/>
      <c r="E227" s="44"/>
      <c r="F227" s="140"/>
      <c r="G227" s="44"/>
      <c r="H227" s="44"/>
      <c r="I227" s="140"/>
    </row>
    <row r="228" spans="1:9" ht="30.75">
      <c r="A228" s="73"/>
      <c r="B228" s="52" t="s">
        <v>216</v>
      </c>
      <c r="C228" s="29">
        <v>0</v>
      </c>
      <c r="D228" s="29">
        <v>0</v>
      </c>
      <c r="E228" s="29">
        <v>-191.05</v>
      </c>
      <c r="F228" s="138">
        <v>0</v>
      </c>
      <c r="G228" s="29">
        <v>0</v>
      </c>
      <c r="H228" s="29">
        <v>0</v>
      </c>
      <c r="I228" s="138">
        <v>0</v>
      </c>
    </row>
    <row r="229" spans="1:9" ht="15.75">
      <c r="A229" s="14"/>
      <c r="B229" s="46"/>
      <c r="C229" s="26"/>
      <c r="D229" s="26"/>
      <c r="E229" s="26"/>
      <c r="F229" s="26"/>
      <c r="G229" s="26"/>
      <c r="H229" s="26"/>
      <c r="I229" s="26"/>
    </row>
    <row r="230" spans="1:9" ht="15.75">
      <c r="A230" s="38">
        <v>75818</v>
      </c>
      <c r="B230" s="92" t="s">
        <v>72</v>
      </c>
      <c r="C230" s="25">
        <f>SUM(C232,C235)</f>
        <v>381000</v>
      </c>
      <c r="D230" s="25">
        <f>SUM(D232,D235)</f>
        <v>360386</v>
      </c>
      <c r="E230" s="25">
        <f>SUM(E232,E235)</f>
        <v>0</v>
      </c>
      <c r="F230" s="137">
        <f>(E230/D230)*100</f>
        <v>0</v>
      </c>
      <c r="G230" s="25">
        <f>SUM(G232,G235)</f>
        <v>0</v>
      </c>
      <c r="H230" s="25">
        <f>SUM(H232,H235)</f>
        <v>383000</v>
      </c>
      <c r="I230" s="137">
        <v>0</v>
      </c>
    </row>
    <row r="231" spans="1:9" ht="15.75">
      <c r="A231" s="14"/>
      <c r="B231" s="46"/>
      <c r="C231" s="26"/>
      <c r="D231" s="26"/>
      <c r="E231" s="26"/>
      <c r="F231" s="26"/>
      <c r="G231" s="26"/>
      <c r="H231" s="37"/>
      <c r="I231" s="26"/>
    </row>
    <row r="232" spans="1:9" ht="15.75">
      <c r="A232" s="14"/>
      <c r="B232" s="14" t="s">
        <v>1</v>
      </c>
      <c r="C232" s="26">
        <f>SUM(C233)</f>
        <v>130000</v>
      </c>
      <c r="D232" s="26">
        <f>SUM(D233)</f>
        <v>109386</v>
      </c>
      <c r="E232" s="26">
        <f>SUM(E233)</f>
        <v>0</v>
      </c>
      <c r="F232" s="142">
        <f>(E232/D232)*100</f>
        <v>0</v>
      </c>
      <c r="G232" s="26">
        <f>SUM(G233)</f>
        <v>0</v>
      </c>
      <c r="H232" s="26">
        <f>SUM(H233)</f>
        <v>130000</v>
      </c>
      <c r="I232" s="142">
        <v>0</v>
      </c>
    </row>
    <row r="233" spans="1:9" ht="15.75">
      <c r="A233" s="14"/>
      <c r="B233" s="27" t="s">
        <v>12</v>
      </c>
      <c r="C233" s="29">
        <v>130000</v>
      </c>
      <c r="D233" s="29">
        <v>109386</v>
      </c>
      <c r="E233" s="29">
        <v>0</v>
      </c>
      <c r="F233" s="138">
        <f>(E233/D233)*100</f>
        <v>0</v>
      </c>
      <c r="G233" s="29">
        <v>0</v>
      </c>
      <c r="H233" s="81">
        <v>130000</v>
      </c>
      <c r="I233" s="138">
        <v>0</v>
      </c>
    </row>
    <row r="234" spans="1:9" ht="15.75">
      <c r="A234" s="14"/>
      <c r="B234" s="41"/>
      <c r="C234" s="44"/>
      <c r="D234" s="44"/>
      <c r="E234" s="44"/>
      <c r="F234" s="140"/>
      <c r="G234" s="44"/>
      <c r="H234" s="44"/>
      <c r="I234" s="140"/>
    </row>
    <row r="235" spans="1:9" ht="15.75">
      <c r="A235" s="14"/>
      <c r="B235" s="58" t="s">
        <v>13</v>
      </c>
      <c r="C235" s="26">
        <f>SUM(C236)</f>
        <v>251000</v>
      </c>
      <c r="D235" s="26">
        <f>SUM(D236)</f>
        <v>251000</v>
      </c>
      <c r="E235" s="26">
        <f>SUM(E236)</f>
        <v>0</v>
      </c>
      <c r="F235" s="142">
        <f>(E235/D235)*100</f>
        <v>0</v>
      </c>
      <c r="G235" s="26">
        <f>SUM(G236)</f>
        <v>0</v>
      </c>
      <c r="H235" s="26">
        <f>SUM(H236)</f>
        <v>253000</v>
      </c>
      <c r="I235" s="142">
        <v>0</v>
      </c>
    </row>
    <row r="236" spans="1:9" ht="30.75">
      <c r="A236" s="39"/>
      <c r="B236" s="79" t="s">
        <v>223</v>
      </c>
      <c r="C236" s="81">
        <v>251000</v>
      </c>
      <c r="D236" s="81">
        <v>251000</v>
      </c>
      <c r="E236" s="81">
        <v>0</v>
      </c>
      <c r="F236" s="148">
        <f>(E236/D236)*100</f>
        <v>0</v>
      </c>
      <c r="G236" s="81">
        <v>0</v>
      </c>
      <c r="H236" s="81">
        <f>255000-2000</f>
        <v>253000</v>
      </c>
      <c r="I236" s="138">
        <v>0</v>
      </c>
    </row>
    <row r="237" spans="1:9" ht="15.75">
      <c r="A237" s="31"/>
      <c r="B237" s="31"/>
      <c r="C237" s="33"/>
      <c r="D237" s="33"/>
      <c r="E237" s="33"/>
      <c r="F237" s="33"/>
      <c r="G237" s="33"/>
      <c r="H237" s="33"/>
      <c r="I237" s="33"/>
    </row>
    <row r="238" spans="1:9" ht="16.5" thickBot="1">
      <c r="A238" s="34">
        <v>801</v>
      </c>
      <c r="B238" s="89" t="s">
        <v>43</v>
      </c>
      <c r="C238" s="36" t="e">
        <f>SUM(C240,C271,C314,C338,,C342,C349)</f>
        <v>#REF!</v>
      </c>
      <c r="D238" s="36">
        <f>SUM(D240,D271,D308,D314,D338,,D342,D349)</f>
        <v>33419809</v>
      </c>
      <c r="E238" s="36">
        <f>SUM(E240,E271,E308,E314,E338,,E342,E349)</f>
        <v>24205981.870000005</v>
      </c>
      <c r="F238" s="19">
        <f>(E238/D238)*100</f>
        <v>72.43004252358236</v>
      </c>
      <c r="G238" s="36">
        <f>SUM(G240,G271,G308,G314,G338,,G342,G349)</f>
        <v>33333295.93</v>
      </c>
      <c r="H238" s="36">
        <f>SUM(H240,H271,H308,H314,H338,,H342,H349)</f>
        <v>34621083</v>
      </c>
      <c r="I238" s="19">
        <f>(H238/G238)*100</f>
        <v>103.86336554508249</v>
      </c>
    </row>
    <row r="239" spans="1:9" ht="16.5" thickTop="1">
      <c r="A239" s="14"/>
      <c r="B239" s="46"/>
      <c r="C239" s="37"/>
      <c r="D239" s="37"/>
      <c r="E239" s="37"/>
      <c r="F239" s="37"/>
      <c r="G239" s="37"/>
      <c r="H239" s="37"/>
      <c r="I239" s="37"/>
    </row>
    <row r="240" spans="1:9" ht="15.75">
      <c r="A240" s="38">
        <v>80101</v>
      </c>
      <c r="B240" s="92" t="s">
        <v>44</v>
      </c>
      <c r="C240" s="25">
        <f>SUM(C242,C247,C259)</f>
        <v>11818736</v>
      </c>
      <c r="D240" s="25">
        <f>SUM(D242,D247,D259)</f>
        <v>11897380</v>
      </c>
      <c r="E240" s="25">
        <f>SUM(E242,E247,E259)</f>
        <v>8728701.89</v>
      </c>
      <c r="F240" s="137">
        <f>(E240/D240)*100</f>
        <v>73.36658903052606</v>
      </c>
      <c r="G240" s="25">
        <f>SUM(G242,G247,G259)</f>
        <v>11883130</v>
      </c>
      <c r="H240" s="25">
        <f>SUM(H242,H247,H259)</f>
        <v>13043954</v>
      </c>
      <c r="I240" s="137">
        <f>(H240/G240)*100</f>
        <v>109.76867205862429</v>
      </c>
    </row>
    <row r="241" spans="1:9" ht="15.75">
      <c r="A241" s="14"/>
      <c r="B241" s="46"/>
      <c r="C241" s="40"/>
      <c r="D241" s="40"/>
      <c r="E241" s="40"/>
      <c r="F241" s="40"/>
      <c r="G241" s="40"/>
      <c r="H241" s="40"/>
      <c r="I241" s="40"/>
    </row>
    <row r="242" spans="1:9" ht="15.75" customHeight="1">
      <c r="A242" s="14"/>
      <c r="B242" s="93" t="s">
        <v>114</v>
      </c>
      <c r="C242" s="26">
        <f>11699049+447337-343000-87500</f>
        <v>11715886</v>
      </c>
      <c r="D242" s="26">
        <v>11849330</v>
      </c>
      <c r="E242" s="26">
        <v>8694931.89</v>
      </c>
      <c r="F242" s="142">
        <f>(E242/D242)*100</f>
        <v>73.37910151882005</v>
      </c>
      <c r="G242" s="26">
        <v>11849330</v>
      </c>
      <c r="H242" s="26">
        <f>12081926+222000</f>
        <v>12303926</v>
      </c>
      <c r="I242" s="142">
        <f>(H242/G242)*100</f>
        <v>103.83647007889898</v>
      </c>
    </row>
    <row r="243" spans="1:9" ht="15.75">
      <c r="A243" s="14"/>
      <c r="B243" s="93" t="s">
        <v>94</v>
      </c>
      <c r="C243" s="26"/>
      <c r="D243" s="26"/>
      <c r="E243" s="26"/>
      <c r="F243" s="26"/>
      <c r="G243" s="26"/>
      <c r="H243" s="26"/>
      <c r="I243" s="26"/>
    </row>
    <row r="244" spans="1:9" ht="15.75">
      <c r="A244" s="14"/>
      <c r="B244" s="57" t="s">
        <v>75</v>
      </c>
      <c r="C244" s="29">
        <f>10134492+447337-343000</f>
        <v>10238829</v>
      </c>
      <c r="D244" s="29">
        <v>10261620</v>
      </c>
      <c r="E244" s="29">
        <v>7454869.06</v>
      </c>
      <c r="F244" s="138">
        <f>(E244/D244)*100</f>
        <v>72.64807174695613</v>
      </c>
      <c r="G244" s="29">
        <f>10261620-200000</f>
        <v>10061620</v>
      </c>
      <c r="H244" s="29">
        <f>10590212+222000</f>
        <v>10812212</v>
      </c>
      <c r="I244" s="138">
        <f>(H244/G244)*100</f>
        <v>107.4599517771492</v>
      </c>
    </row>
    <row r="245" spans="1:9" ht="15.75">
      <c r="A245" s="14"/>
      <c r="B245" s="107" t="s">
        <v>47</v>
      </c>
      <c r="C245" s="67">
        <v>50820</v>
      </c>
      <c r="D245" s="67">
        <v>53820</v>
      </c>
      <c r="E245" s="67">
        <v>30820</v>
      </c>
      <c r="F245" s="138">
        <f>(E245/D245)*100</f>
        <v>57.26495726495726</v>
      </c>
      <c r="G245" s="67">
        <v>53820</v>
      </c>
      <c r="H245" s="67">
        <v>50820</v>
      </c>
      <c r="I245" s="138">
        <f>(H245/G245)*100</f>
        <v>94.42586399108139</v>
      </c>
    </row>
    <row r="246" spans="1:9" ht="15.75">
      <c r="A246" s="14"/>
      <c r="B246" s="56"/>
      <c r="C246" s="44"/>
      <c r="D246" s="44"/>
      <c r="E246" s="44"/>
      <c r="F246" s="140"/>
      <c r="G246" s="44"/>
      <c r="H246" s="44"/>
      <c r="I246" s="140"/>
    </row>
    <row r="247" spans="1:9" ht="15.75">
      <c r="A247" s="14"/>
      <c r="B247" s="94" t="s">
        <v>78</v>
      </c>
      <c r="C247" s="26">
        <f>SUM(C249:C250,C251:C253)</f>
        <v>67850</v>
      </c>
      <c r="D247" s="26">
        <f>SUM(D249:D250,D251:D257)</f>
        <v>13050</v>
      </c>
      <c r="E247" s="26">
        <f>SUM(E249:E250,E251:E257)</f>
        <v>3020</v>
      </c>
      <c r="F247" s="142">
        <f>(E247/D247)*100</f>
        <v>23.14176245210728</v>
      </c>
      <c r="G247" s="26">
        <f>SUM(G249:G250,G251:G257)</f>
        <v>3050</v>
      </c>
      <c r="H247" s="26">
        <f>SUM(H249:H250,H251:H257)</f>
        <v>257028</v>
      </c>
      <c r="I247" s="142">
        <f>(H247/G247)*100</f>
        <v>8427.147540983608</v>
      </c>
    </row>
    <row r="248" spans="1:9" ht="15.75">
      <c r="A248" s="14"/>
      <c r="B248" s="94" t="s">
        <v>2</v>
      </c>
      <c r="C248" s="37"/>
      <c r="D248" s="37"/>
      <c r="E248" s="37"/>
      <c r="F248" s="37"/>
      <c r="G248" s="37"/>
      <c r="H248" s="37"/>
      <c r="I248" s="37"/>
    </row>
    <row r="249" spans="1:9" ht="30.75">
      <c r="A249" s="14"/>
      <c r="B249" s="42" t="s">
        <v>278</v>
      </c>
      <c r="C249" s="81">
        <v>53000</v>
      </c>
      <c r="D249" s="81">
        <v>0</v>
      </c>
      <c r="E249" s="81">
        <v>0</v>
      </c>
      <c r="F249" s="148">
        <v>0</v>
      </c>
      <c r="G249" s="81">
        <v>0</v>
      </c>
      <c r="H249" s="81">
        <f>64721-15000</f>
        <v>49721</v>
      </c>
      <c r="I249" s="138">
        <v>0</v>
      </c>
    </row>
    <row r="250" spans="1:9" ht="15.75">
      <c r="A250" s="14"/>
      <c r="B250" s="78" t="s">
        <v>193</v>
      </c>
      <c r="C250" s="67">
        <v>2500</v>
      </c>
      <c r="D250" s="67">
        <v>2500</v>
      </c>
      <c r="E250" s="67">
        <v>2500</v>
      </c>
      <c r="F250" s="138">
        <f>(E250/D250)*100</f>
        <v>100</v>
      </c>
      <c r="G250" s="67">
        <v>2500</v>
      </c>
      <c r="H250" s="67">
        <v>3000</v>
      </c>
      <c r="I250" s="138">
        <f>(H250/G250)*100</f>
        <v>120</v>
      </c>
    </row>
    <row r="251" spans="1:9" ht="75.75">
      <c r="A251" s="14"/>
      <c r="B251" s="77" t="s">
        <v>309</v>
      </c>
      <c r="C251" s="29">
        <v>550</v>
      </c>
      <c r="D251" s="29">
        <v>550</v>
      </c>
      <c r="E251" s="29">
        <v>520</v>
      </c>
      <c r="F251" s="138">
        <f>(E251/D251)*100</f>
        <v>94.54545454545455</v>
      </c>
      <c r="G251" s="29">
        <v>550</v>
      </c>
      <c r="H251" s="29">
        <f>3350-1750</f>
        <v>1600</v>
      </c>
      <c r="I251" s="138">
        <f>(H251/G251)*100</f>
        <v>290.90909090909093</v>
      </c>
    </row>
    <row r="252" spans="1:9" ht="30.75">
      <c r="A252" s="14"/>
      <c r="B252" s="95" t="s">
        <v>279</v>
      </c>
      <c r="C252" s="67">
        <v>10000</v>
      </c>
      <c r="D252" s="67">
        <v>10000</v>
      </c>
      <c r="E252" s="67">
        <v>0</v>
      </c>
      <c r="F252" s="138">
        <f>(E252/D252)*100</f>
        <v>0</v>
      </c>
      <c r="G252" s="67">
        <v>0</v>
      </c>
      <c r="H252" s="67">
        <f>10000-10000</f>
        <v>0</v>
      </c>
      <c r="I252" s="138">
        <v>0</v>
      </c>
    </row>
    <row r="253" spans="1:9" ht="15.75">
      <c r="A253" s="14"/>
      <c r="B253" s="95" t="s">
        <v>194</v>
      </c>
      <c r="C253" s="67">
        <v>1800</v>
      </c>
      <c r="D253" s="67">
        <v>0</v>
      </c>
      <c r="E253" s="67">
        <v>0</v>
      </c>
      <c r="F253" s="138">
        <v>0</v>
      </c>
      <c r="G253" s="67">
        <v>0</v>
      </c>
      <c r="H253" s="67">
        <v>2500</v>
      </c>
      <c r="I253" s="138">
        <v>0</v>
      </c>
    </row>
    <row r="254" spans="1:9" ht="30.75">
      <c r="A254" s="14"/>
      <c r="B254" s="95" t="s">
        <v>286</v>
      </c>
      <c r="C254" s="67"/>
      <c r="D254" s="67">
        <v>0</v>
      </c>
      <c r="E254" s="67">
        <v>0</v>
      </c>
      <c r="F254" s="138">
        <v>0</v>
      </c>
      <c r="G254" s="67">
        <v>0</v>
      </c>
      <c r="H254" s="67">
        <f>140207-15000</f>
        <v>125207</v>
      </c>
      <c r="I254" s="138">
        <v>0</v>
      </c>
    </row>
    <row r="255" spans="1:9" ht="15.75">
      <c r="A255" s="14"/>
      <c r="B255" s="95" t="s">
        <v>283</v>
      </c>
      <c r="C255" s="67"/>
      <c r="D255" s="67">
        <v>0</v>
      </c>
      <c r="E255" s="67">
        <v>0</v>
      </c>
      <c r="F255" s="144">
        <v>0</v>
      </c>
      <c r="G255" s="67">
        <v>0</v>
      </c>
      <c r="H255" s="67">
        <v>30000</v>
      </c>
      <c r="I255" s="144">
        <v>0</v>
      </c>
    </row>
    <row r="256" spans="1:9" ht="15.75">
      <c r="A256" s="14"/>
      <c r="B256" s="95" t="s">
        <v>284</v>
      </c>
      <c r="C256" s="67"/>
      <c r="D256" s="67">
        <v>0</v>
      </c>
      <c r="E256" s="67">
        <v>0</v>
      </c>
      <c r="F256" s="144">
        <v>0</v>
      </c>
      <c r="G256" s="67">
        <v>0</v>
      </c>
      <c r="H256" s="67">
        <v>10000</v>
      </c>
      <c r="I256" s="144">
        <v>0</v>
      </c>
    </row>
    <row r="257" spans="1:9" ht="15.75" customHeight="1">
      <c r="A257" s="14"/>
      <c r="B257" s="77" t="s">
        <v>285</v>
      </c>
      <c r="C257" s="67"/>
      <c r="D257" s="67">
        <v>0</v>
      </c>
      <c r="E257" s="67">
        <v>0</v>
      </c>
      <c r="F257" s="144">
        <v>0</v>
      </c>
      <c r="G257" s="67">
        <v>0</v>
      </c>
      <c r="H257" s="67">
        <v>35000</v>
      </c>
      <c r="I257" s="144">
        <v>0</v>
      </c>
    </row>
    <row r="258" spans="1:9" ht="15.75">
      <c r="A258" s="14"/>
      <c r="B258" s="53"/>
      <c r="C258" s="44"/>
      <c r="D258" s="44"/>
      <c r="E258" s="44"/>
      <c r="F258" s="140"/>
      <c r="G258" s="44"/>
      <c r="H258" s="44"/>
      <c r="I258" s="140"/>
    </row>
    <row r="259" spans="1:9" ht="15.75">
      <c r="A259" s="14"/>
      <c r="B259" s="54" t="s">
        <v>104</v>
      </c>
      <c r="C259" s="26">
        <f>SUM(C261:C261)</f>
        <v>35000</v>
      </c>
      <c r="D259" s="26">
        <f>SUM(D261:D264)</f>
        <v>35000</v>
      </c>
      <c r="E259" s="26">
        <f>SUM(E261:E264)</f>
        <v>30750</v>
      </c>
      <c r="F259" s="142">
        <f>(E259/D259)*100</f>
        <v>87.85714285714286</v>
      </c>
      <c r="G259" s="26">
        <f>SUM(G261:G264)</f>
        <v>30750</v>
      </c>
      <c r="H259" s="26">
        <f>SUM(H261:H264)</f>
        <v>483000</v>
      </c>
      <c r="I259" s="142">
        <f>(H259/G259)*100</f>
        <v>1570.7317073170732</v>
      </c>
    </row>
    <row r="260" spans="1:9" ht="15.75">
      <c r="A260" s="14"/>
      <c r="B260" s="54" t="s">
        <v>2</v>
      </c>
      <c r="C260" s="37"/>
      <c r="D260" s="37"/>
      <c r="E260" s="37"/>
      <c r="F260" s="37"/>
      <c r="G260" s="37"/>
      <c r="H260" s="37"/>
      <c r="I260" s="37"/>
    </row>
    <row r="261" spans="1:9" ht="30.75">
      <c r="A261" s="14"/>
      <c r="B261" s="42" t="s">
        <v>335</v>
      </c>
      <c r="C261" s="29">
        <v>35000</v>
      </c>
      <c r="D261" s="29">
        <v>35000</v>
      </c>
      <c r="E261" s="29">
        <v>30750</v>
      </c>
      <c r="F261" s="138">
        <f>(E261/D261)*100</f>
        <v>87.85714285714286</v>
      </c>
      <c r="G261" s="29">
        <v>30750</v>
      </c>
      <c r="H261" s="29">
        <v>0</v>
      </c>
      <c r="I261" s="138">
        <f>(H261/G261)*100</f>
        <v>0</v>
      </c>
    </row>
    <row r="262" spans="1:9" ht="15.75">
      <c r="A262" s="14"/>
      <c r="B262" s="42" t="s">
        <v>280</v>
      </c>
      <c r="C262" s="29"/>
      <c r="D262" s="29">
        <v>0</v>
      </c>
      <c r="E262" s="29">
        <v>0</v>
      </c>
      <c r="F262" s="138">
        <v>0</v>
      </c>
      <c r="G262" s="29">
        <v>0</v>
      </c>
      <c r="H262" s="29">
        <v>110000</v>
      </c>
      <c r="I262" s="138">
        <v>0</v>
      </c>
    </row>
    <row r="263" spans="1:9" ht="15.75">
      <c r="A263" s="14"/>
      <c r="B263" s="42" t="s">
        <v>281</v>
      </c>
      <c r="C263" s="29"/>
      <c r="D263" s="29">
        <v>0</v>
      </c>
      <c r="E263" s="29">
        <v>0</v>
      </c>
      <c r="F263" s="138">
        <v>0</v>
      </c>
      <c r="G263" s="29">
        <v>0</v>
      </c>
      <c r="H263" s="29">
        <v>103000</v>
      </c>
      <c r="I263" s="138">
        <v>0</v>
      </c>
    </row>
    <row r="264" spans="1:9" ht="15.75">
      <c r="A264" s="39"/>
      <c r="B264" s="42" t="s">
        <v>282</v>
      </c>
      <c r="C264" s="67"/>
      <c r="D264" s="67">
        <v>0</v>
      </c>
      <c r="E264" s="67">
        <v>0</v>
      </c>
      <c r="F264" s="144">
        <v>0</v>
      </c>
      <c r="G264" s="67">
        <v>0</v>
      </c>
      <c r="H264" s="67">
        <v>270000</v>
      </c>
      <c r="I264" s="144">
        <v>0</v>
      </c>
    </row>
    <row r="265" spans="1:9" ht="9" customHeight="1" thickBot="1">
      <c r="A265" s="30"/>
      <c r="B265" s="85"/>
      <c r="C265" s="70"/>
      <c r="D265" s="70"/>
      <c r="E265" s="70"/>
      <c r="F265" s="147"/>
      <c r="G265" s="70"/>
      <c r="H265" s="70"/>
      <c r="I265" s="147"/>
    </row>
    <row r="266" spans="1:9" ht="15.75">
      <c r="A266" s="2"/>
      <c r="B266" s="3"/>
      <c r="C266" s="4"/>
      <c r="D266" s="4"/>
      <c r="E266" s="4"/>
      <c r="F266" s="4"/>
      <c r="G266" s="4"/>
      <c r="H266" s="4"/>
      <c r="I266" s="4"/>
    </row>
    <row r="267" spans="1:9" ht="15.75">
      <c r="A267" s="5" t="s">
        <v>19</v>
      </c>
      <c r="B267" s="6" t="s">
        <v>0</v>
      </c>
      <c r="C267" s="7" t="s">
        <v>205</v>
      </c>
      <c r="D267" s="7" t="s">
        <v>205</v>
      </c>
      <c r="E267" s="7" t="s">
        <v>207</v>
      </c>
      <c r="F267" s="7" t="s">
        <v>208</v>
      </c>
      <c r="G267" s="7" t="s">
        <v>227</v>
      </c>
      <c r="H267" s="7" t="s">
        <v>228</v>
      </c>
      <c r="I267" s="7" t="s">
        <v>208</v>
      </c>
    </row>
    <row r="268" spans="1:9" ht="15.75">
      <c r="A268" s="5" t="s">
        <v>21</v>
      </c>
      <c r="B268" s="8"/>
      <c r="C268" s="7" t="s">
        <v>206</v>
      </c>
      <c r="D268" s="7" t="s">
        <v>226</v>
      </c>
      <c r="E268" s="7" t="s">
        <v>226</v>
      </c>
      <c r="F268" s="7" t="s">
        <v>209</v>
      </c>
      <c r="G268" s="7" t="s">
        <v>229</v>
      </c>
      <c r="H268" s="7" t="s">
        <v>231</v>
      </c>
      <c r="I268" s="7" t="s">
        <v>209</v>
      </c>
    </row>
    <row r="269" spans="1:9" ht="16.5" thickBot="1">
      <c r="A269" s="9"/>
      <c r="B269" s="10"/>
      <c r="C269" s="11" t="s">
        <v>186</v>
      </c>
      <c r="D269" s="11" t="s">
        <v>186</v>
      </c>
      <c r="E269" s="11" t="s">
        <v>186</v>
      </c>
      <c r="F269" s="11"/>
      <c r="G269" s="11" t="s">
        <v>230</v>
      </c>
      <c r="H269" s="11" t="s">
        <v>232</v>
      </c>
      <c r="I269" s="11"/>
    </row>
    <row r="270" spans="1:9" ht="9" customHeight="1">
      <c r="A270" s="31"/>
      <c r="B270" s="31"/>
      <c r="C270" s="33"/>
      <c r="D270" s="33"/>
      <c r="E270" s="33"/>
      <c r="F270" s="33"/>
      <c r="G270" s="33"/>
      <c r="H270" s="33"/>
      <c r="I270" s="33"/>
    </row>
    <row r="271" spans="1:9" ht="15.75">
      <c r="A271" s="38">
        <v>80104</v>
      </c>
      <c r="B271" s="39" t="s">
        <v>45</v>
      </c>
      <c r="C271" s="25">
        <f>SUM(C273,C277,C296)</f>
        <v>12100115</v>
      </c>
      <c r="D271" s="25">
        <f>SUM(D273,D277,D296)</f>
        <v>12226925</v>
      </c>
      <c r="E271" s="25">
        <f>SUM(E273,E277,E296)</f>
        <v>8621200.16</v>
      </c>
      <c r="F271" s="137">
        <f>(E271/D271)*100</f>
        <v>70.50996190783864</v>
      </c>
      <c r="G271" s="25">
        <f>SUM(G273,G277,G296)</f>
        <v>12190088.11</v>
      </c>
      <c r="H271" s="25">
        <f>SUM(H273,H277,H296)</f>
        <v>11793620</v>
      </c>
      <c r="I271" s="137">
        <f>(H271/G271)*100</f>
        <v>96.74761899649633</v>
      </c>
    </row>
    <row r="272" spans="1:9" ht="8.25" customHeight="1">
      <c r="A272" s="14"/>
      <c r="B272" s="46"/>
      <c r="C272" s="37"/>
      <c r="D272" s="37"/>
      <c r="E272" s="37"/>
      <c r="F272" s="37"/>
      <c r="G272" s="37"/>
      <c r="H272" s="37"/>
      <c r="I272" s="37"/>
    </row>
    <row r="273" spans="1:9" ht="15.75">
      <c r="A273" s="14"/>
      <c r="B273" s="46" t="s">
        <v>105</v>
      </c>
      <c r="C273" s="26">
        <f>11304482+366395-252000-54000</f>
        <v>11364877</v>
      </c>
      <c r="D273" s="26">
        <v>11593282</v>
      </c>
      <c r="E273" s="26">
        <v>8158648.99</v>
      </c>
      <c r="F273" s="142">
        <f>(E273/D273)*100</f>
        <v>70.37393716464415</v>
      </c>
      <c r="G273" s="26">
        <v>11593282</v>
      </c>
      <c r="H273" s="26">
        <f>11287140+90000</f>
        <v>11377140</v>
      </c>
      <c r="I273" s="142">
        <f>(H273/G273)*100</f>
        <v>98.13562716752685</v>
      </c>
    </row>
    <row r="274" spans="1:9" ht="14.25" customHeight="1">
      <c r="A274" s="14"/>
      <c r="B274" s="46" t="s">
        <v>94</v>
      </c>
      <c r="C274" s="26"/>
      <c r="D274" s="26"/>
      <c r="E274" s="26"/>
      <c r="F274" s="26"/>
      <c r="G274" s="26"/>
      <c r="H274" s="26"/>
      <c r="I274" s="26"/>
    </row>
    <row r="275" spans="1:9" ht="15.75">
      <c r="A275" s="14"/>
      <c r="B275" s="57" t="s">
        <v>75</v>
      </c>
      <c r="C275" s="29">
        <f>8782986+366395-252000</f>
        <v>8897381</v>
      </c>
      <c r="D275" s="29">
        <v>9043264</v>
      </c>
      <c r="E275" s="29">
        <v>6432737.88</v>
      </c>
      <c r="F275" s="138">
        <f>(E275/D275)*100</f>
        <v>71.13292147613959</v>
      </c>
      <c r="G275" s="29">
        <f>9043264-300000</f>
        <v>8743264</v>
      </c>
      <c r="H275" s="29">
        <f>8832171+90000</f>
        <v>8922171</v>
      </c>
      <c r="I275" s="138">
        <f>(H275/G275)*100</f>
        <v>102.0462266723274</v>
      </c>
    </row>
    <row r="276" spans="1:9" ht="15.75">
      <c r="A276" s="14"/>
      <c r="B276" s="57" t="s">
        <v>106</v>
      </c>
      <c r="C276" s="81">
        <v>10000</v>
      </c>
      <c r="D276" s="29">
        <v>10000</v>
      </c>
      <c r="E276" s="29">
        <v>5097</v>
      </c>
      <c r="F276" s="138">
        <f>(E276/D276)*100</f>
        <v>50.970000000000006</v>
      </c>
      <c r="G276" s="29">
        <v>10000</v>
      </c>
      <c r="H276" s="29">
        <v>10000</v>
      </c>
      <c r="I276" s="138">
        <f>(H276/G276)*100</f>
        <v>100</v>
      </c>
    </row>
    <row r="277" spans="1:9" ht="15.75">
      <c r="A277" s="14"/>
      <c r="B277" s="46" t="s">
        <v>80</v>
      </c>
      <c r="C277" s="26">
        <f>SUM(C279:C295)</f>
        <v>555238</v>
      </c>
      <c r="D277" s="26">
        <f>SUM(D279:D295)</f>
        <v>462843</v>
      </c>
      <c r="E277" s="26">
        <f>SUM(E279:E295)</f>
        <v>312820.13</v>
      </c>
      <c r="F277" s="142">
        <f>(E277/D277)*100</f>
        <v>67.58666113563346</v>
      </c>
      <c r="G277" s="26">
        <f>SUM(G279:G295)</f>
        <v>447075.07</v>
      </c>
      <c r="H277" s="26">
        <f>SUM(H279:H295)</f>
        <v>312980</v>
      </c>
      <c r="I277" s="142">
        <f>(H277/G277)*100</f>
        <v>70.0061401321259</v>
      </c>
    </row>
    <row r="278" spans="1:9" ht="13.5" customHeight="1">
      <c r="A278" s="14"/>
      <c r="B278" s="46" t="s">
        <v>2</v>
      </c>
      <c r="C278" s="37"/>
      <c r="D278" s="37"/>
      <c r="E278" s="37"/>
      <c r="F278" s="37"/>
      <c r="G278" s="37"/>
      <c r="H278" s="37"/>
      <c r="I278" s="37"/>
    </row>
    <row r="279" spans="1:9" ht="30.75">
      <c r="A279" s="14"/>
      <c r="B279" s="42" t="s">
        <v>287</v>
      </c>
      <c r="C279" s="81">
        <v>75700</v>
      </c>
      <c r="D279" s="81">
        <v>0</v>
      </c>
      <c r="E279" s="81">
        <v>0</v>
      </c>
      <c r="F279" s="138">
        <v>0</v>
      </c>
      <c r="G279" s="81">
        <v>0</v>
      </c>
      <c r="H279" s="81">
        <f>75300-15000</f>
        <v>60300</v>
      </c>
      <c r="I279" s="138">
        <v>0</v>
      </c>
    </row>
    <row r="280" spans="1:9" ht="30.75">
      <c r="A280" s="14"/>
      <c r="B280" s="42" t="s">
        <v>173</v>
      </c>
      <c r="C280" s="81">
        <v>144757</v>
      </c>
      <c r="D280" s="81">
        <v>144757</v>
      </c>
      <c r="E280" s="81">
        <v>91278</v>
      </c>
      <c r="F280" s="138">
        <f>(E280/D280)*100</f>
        <v>63.0560180163999</v>
      </c>
      <c r="G280" s="81">
        <v>144757</v>
      </c>
      <c r="H280" s="81">
        <v>0</v>
      </c>
      <c r="I280" s="138">
        <f aca="true" t="shared" si="5" ref="I280:I285">(H280/G280)*100</f>
        <v>0</v>
      </c>
    </row>
    <row r="281" spans="1:9" ht="45.75">
      <c r="A281" s="14"/>
      <c r="B281" s="42" t="s">
        <v>182</v>
      </c>
      <c r="C281" s="81">
        <v>6049</v>
      </c>
      <c r="D281" s="81">
        <v>6049</v>
      </c>
      <c r="E281" s="81">
        <v>3168</v>
      </c>
      <c r="F281" s="138">
        <f>(E281/D281)*100</f>
        <v>52.37229294098198</v>
      </c>
      <c r="G281" s="81">
        <v>6049</v>
      </c>
      <c r="H281" s="81">
        <v>6192</v>
      </c>
      <c r="I281" s="138">
        <f t="shared" si="5"/>
        <v>102.36402711191931</v>
      </c>
    </row>
    <row r="282" spans="1:9" ht="45.75">
      <c r="A282" s="14"/>
      <c r="B282" s="42" t="s">
        <v>288</v>
      </c>
      <c r="C282" s="81">
        <v>11581</v>
      </c>
      <c r="D282" s="81">
        <v>11581</v>
      </c>
      <c r="E282" s="81">
        <v>0</v>
      </c>
      <c r="F282" s="138">
        <f aca="true" t="shared" si="6" ref="F282:F290">(E282/D282)*100</f>
        <v>0</v>
      </c>
      <c r="G282" s="81">
        <v>11581</v>
      </c>
      <c r="H282" s="81">
        <v>0</v>
      </c>
      <c r="I282" s="138">
        <f t="shared" si="5"/>
        <v>0</v>
      </c>
    </row>
    <row r="283" spans="1:9" ht="60.75">
      <c r="A283" s="14"/>
      <c r="B283" s="42" t="s">
        <v>225</v>
      </c>
      <c r="C283" s="81">
        <v>0</v>
      </c>
      <c r="D283" s="81">
        <v>5811</v>
      </c>
      <c r="E283" s="81">
        <v>5810.18</v>
      </c>
      <c r="F283" s="138">
        <f t="shared" si="6"/>
        <v>99.98588883152641</v>
      </c>
      <c r="G283" s="81">
        <v>5810.18</v>
      </c>
      <c r="H283" s="81">
        <v>5000</v>
      </c>
      <c r="I283" s="138">
        <f t="shared" si="5"/>
        <v>86.05585369127978</v>
      </c>
    </row>
    <row r="284" spans="1:9" ht="45.75">
      <c r="A284" s="14"/>
      <c r="B284" s="42" t="s">
        <v>217</v>
      </c>
      <c r="C284" s="81">
        <v>0</v>
      </c>
      <c r="D284" s="81">
        <v>14422</v>
      </c>
      <c r="E284" s="81">
        <v>8008.24</v>
      </c>
      <c r="F284" s="138">
        <f t="shared" si="6"/>
        <v>55.52794341977534</v>
      </c>
      <c r="G284" s="81">
        <v>14422</v>
      </c>
      <c r="H284" s="81">
        <v>9638</v>
      </c>
      <c r="I284" s="138">
        <f t="shared" si="5"/>
        <v>66.82845652475385</v>
      </c>
    </row>
    <row r="285" spans="1:9" ht="45.75">
      <c r="A285" s="14"/>
      <c r="B285" s="77" t="s">
        <v>289</v>
      </c>
      <c r="C285" s="129">
        <v>550</v>
      </c>
      <c r="D285" s="129">
        <v>550</v>
      </c>
      <c r="E285" s="129">
        <v>460</v>
      </c>
      <c r="F285" s="138">
        <f t="shared" si="6"/>
        <v>83.63636363636363</v>
      </c>
      <c r="G285" s="129">
        <v>550</v>
      </c>
      <c r="H285" s="129">
        <f>1500-650</f>
        <v>850</v>
      </c>
      <c r="I285" s="138">
        <f t="shared" si="5"/>
        <v>154.54545454545453</v>
      </c>
    </row>
    <row r="286" spans="1:9" ht="30.75">
      <c r="A286" s="14"/>
      <c r="B286" s="77" t="s">
        <v>279</v>
      </c>
      <c r="C286" s="129">
        <v>10000</v>
      </c>
      <c r="D286" s="129">
        <v>9281</v>
      </c>
      <c r="E286" s="129">
        <v>0</v>
      </c>
      <c r="F286" s="138">
        <f t="shared" si="6"/>
        <v>0</v>
      </c>
      <c r="G286" s="129">
        <v>0</v>
      </c>
      <c r="H286" s="129">
        <v>0</v>
      </c>
      <c r="I286" s="138">
        <v>0</v>
      </c>
    </row>
    <row r="287" spans="1:9" ht="15.75">
      <c r="A287" s="14"/>
      <c r="B287" s="77" t="s">
        <v>155</v>
      </c>
      <c r="C287" s="129">
        <v>31600</v>
      </c>
      <c r="D287" s="129">
        <v>31600</v>
      </c>
      <c r="E287" s="129">
        <v>30682.5</v>
      </c>
      <c r="F287" s="138">
        <f t="shared" si="6"/>
        <v>97.09651898734177</v>
      </c>
      <c r="G287" s="129">
        <v>30682.5</v>
      </c>
      <c r="H287" s="129">
        <v>0</v>
      </c>
      <c r="I287" s="138">
        <f>(H287/G287)*100</f>
        <v>0</v>
      </c>
    </row>
    <row r="288" spans="1:9" ht="60.75">
      <c r="A288" s="14"/>
      <c r="B288" s="77" t="s">
        <v>290</v>
      </c>
      <c r="C288" s="129">
        <v>62003</v>
      </c>
      <c r="D288" s="129">
        <v>5294</v>
      </c>
      <c r="E288" s="129">
        <v>0</v>
      </c>
      <c r="F288" s="138">
        <f t="shared" si="6"/>
        <v>0</v>
      </c>
      <c r="G288" s="129">
        <v>0</v>
      </c>
      <c r="H288" s="129">
        <v>0</v>
      </c>
      <c r="I288" s="138">
        <v>0</v>
      </c>
    </row>
    <row r="289" spans="1:9" ht="45.75" customHeight="1">
      <c r="A289" s="14"/>
      <c r="B289" s="77" t="s">
        <v>291</v>
      </c>
      <c r="C289" s="129">
        <v>20198</v>
      </c>
      <c r="D289" s="129">
        <v>20198</v>
      </c>
      <c r="E289" s="129">
        <v>0</v>
      </c>
      <c r="F289" s="148">
        <f t="shared" si="6"/>
        <v>0</v>
      </c>
      <c r="G289" s="129">
        <v>20198</v>
      </c>
      <c r="H289" s="129">
        <v>0</v>
      </c>
      <c r="I289" s="138">
        <v>0</v>
      </c>
    </row>
    <row r="290" spans="1:9" ht="15.75">
      <c r="A290" s="14"/>
      <c r="B290" s="77" t="s">
        <v>292</v>
      </c>
      <c r="C290" s="129">
        <v>50000</v>
      </c>
      <c r="D290" s="129">
        <v>70500</v>
      </c>
      <c r="E290" s="129">
        <v>70225.39</v>
      </c>
      <c r="F290" s="138">
        <f t="shared" si="6"/>
        <v>99.61048226950354</v>
      </c>
      <c r="G290" s="129">
        <v>70225.39</v>
      </c>
      <c r="H290" s="129">
        <v>0</v>
      </c>
      <c r="I290" s="138">
        <f>(H290/G290)*100</f>
        <v>0</v>
      </c>
    </row>
    <row r="291" spans="1:9" ht="15.75">
      <c r="A291" s="14"/>
      <c r="B291" s="77" t="s">
        <v>299</v>
      </c>
      <c r="C291" s="129"/>
      <c r="D291" s="129">
        <v>0</v>
      </c>
      <c r="E291" s="129">
        <v>0</v>
      </c>
      <c r="F291" s="144">
        <v>0</v>
      </c>
      <c r="G291" s="129">
        <v>0</v>
      </c>
      <c r="H291" s="129">
        <v>30000</v>
      </c>
      <c r="I291" s="138">
        <v>0</v>
      </c>
    </row>
    <row r="292" spans="1:9" ht="15.75">
      <c r="A292" s="14"/>
      <c r="B292" s="77" t="s">
        <v>300</v>
      </c>
      <c r="C292" s="129"/>
      <c r="D292" s="129">
        <v>0</v>
      </c>
      <c r="E292" s="129">
        <v>0</v>
      </c>
      <c r="F292" s="144">
        <v>0</v>
      </c>
      <c r="G292" s="129">
        <v>0</v>
      </c>
      <c r="H292" s="129">
        <v>35000</v>
      </c>
      <c r="I292" s="138">
        <v>0</v>
      </c>
    </row>
    <row r="293" spans="1:9" ht="30.75">
      <c r="A293" s="14"/>
      <c r="B293" s="77" t="s">
        <v>301</v>
      </c>
      <c r="C293" s="129"/>
      <c r="D293" s="129">
        <v>0</v>
      </c>
      <c r="E293" s="129">
        <v>0</v>
      </c>
      <c r="F293" s="144">
        <v>0</v>
      </c>
      <c r="G293" s="129">
        <v>0</v>
      </c>
      <c r="H293" s="129">
        <v>20000</v>
      </c>
      <c r="I293" s="138">
        <v>0</v>
      </c>
    </row>
    <row r="294" spans="1:9" ht="15.75">
      <c r="A294" s="14"/>
      <c r="B294" s="54" t="s">
        <v>117</v>
      </c>
      <c r="C294" s="80"/>
      <c r="D294" s="80"/>
      <c r="E294" s="80"/>
      <c r="F294" s="140"/>
      <c r="G294" s="80"/>
      <c r="H294" s="80"/>
      <c r="I294" s="143"/>
    </row>
    <row r="295" spans="1:9" ht="15.75">
      <c r="A295" s="14"/>
      <c r="B295" s="42" t="s">
        <v>174</v>
      </c>
      <c r="C295" s="81">
        <v>142800</v>
      </c>
      <c r="D295" s="81">
        <v>142800</v>
      </c>
      <c r="E295" s="81">
        <v>103187.82</v>
      </c>
      <c r="F295" s="138">
        <f>(E295/D295)*100</f>
        <v>72.26037815126051</v>
      </c>
      <c r="G295" s="81">
        <v>142800</v>
      </c>
      <c r="H295" s="81">
        <v>146000</v>
      </c>
      <c r="I295" s="138">
        <f>(H295/G295)*100</f>
        <v>102.24089635854341</v>
      </c>
    </row>
    <row r="296" spans="1:9" ht="15.75">
      <c r="A296" s="14"/>
      <c r="B296" s="54" t="s">
        <v>107</v>
      </c>
      <c r="C296" s="26">
        <f>SUM(C298:C305)</f>
        <v>180000</v>
      </c>
      <c r="D296" s="26">
        <f>SUM(D298:D306)</f>
        <v>170800</v>
      </c>
      <c r="E296" s="26">
        <f>SUM(E298:E306)</f>
        <v>149731.04</v>
      </c>
      <c r="F296" s="142">
        <f>(E296/D296)*100</f>
        <v>87.66454332552694</v>
      </c>
      <c r="G296" s="26">
        <f>SUM(G298:G306)</f>
        <v>149731.04</v>
      </c>
      <c r="H296" s="26">
        <f>SUM(H298:H306)</f>
        <v>103500</v>
      </c>
      <c r="I296" s="142">
        <f>(H296/G296)*100</f>
        <v>69.12394383956726</v>
      </c>
    </row>
    <row r="297" spans="1:9" ht="15.75">
      <c r="A297" s="14"/>
      <c r="B297" s="54" t="s">
        <v>2</v>
      </c>
      <c r="C297" s="26"/>
      <c r="D297" s="26"/>
      <c r="E297" s="26"/>
      <c r="F297" s="26"/>
      <c r="G297" s="26"/>
      <c r="H297" s="26"/>
      <c r="I297" s="26"/>
    </row>
    <row r="298" spans="1:9" ht="30.75">
      <c r="A298" s="14"/>
      <c r="B298" s="42" t="s">
        <v>335</v>
      </c>
      <c r="C298" s="29">
        <v>10000</v>
      </c>
      <c r="D298" s="29">
        <v>10000</v>
      </c>
      <c r="E298" s="29">
        <v>7380</v>
      </c>
      <c r="F298" s="138">
        <f>(E298/D298)*100</f>
        <v>73.8</v>
      </c>
      <c r="G298" s="29">
        <v>7380</v>
      </c>
      <c r="H298" s="29">
        <v>0</v>
      </c>
      <c r="I298" s="138">
        <f>(H298/G298)*100</f>
        <v>0</v>
      </c>
    </row>
    <row r="299" spans="1:9" ht="15.75">
      <c r="A299" s="14"/>
      <c r="B299" s="42" t="s">
        <v>338</v>
      </c>
      <c r="C299" s="29"/>
      <c r="D299" s="29">
        <v>0</v>
      </c>
      <c r="E299" s="29">
        <v>0</v>
      </c>
      <c r="F299" s="138">
        <v>0</v>
      </c>
      <c r="G299" s="29">
        <v>0</v>
      </c>
      <c r="H299" s="29">
        <v>4500</v>
      </c>
      <c r="I299" s="138">
        <v>0</v>
      </c>
    </row>
    <row r="300" spans="1:9" ht="31.5">
      <c r="A300" s="14"/>
      <c r="B300" s="42" t="s">
        <v>293</v>
      </c>
      <c r="C300" s="29">
        <v>145000</v>
      </c>
      <c r="D300" s="29">
        <v>106500</v>
      </c>
      <c r="E300" s="29">
        <v>104529.97</v>
      </c>
      <c r="F300" s="138">
        <f>(E300/D300)*100</f>
        <v>98.15020657276995</v>
      </c>
      <c r="G300" s="29">
        <v>104529.97</v>
      </c>
      <c r="H300" s="29">
        <v>0</v>
      </c>
      <c r="I300" s="138">
        <f>(H300/G300)*100</f>
        <v>0</v>
      </c>
    </row>
    <row r="301" spans="1:9" ht="31.5">
      <c r="A301" s="14"/>
      <c r="B301" s="42" t="s">
        <v>336</v>
      </c>
      <c r="C301" s="29"/>
      <c r="D301" s="29">
        <v>0</v>
      </c>
      <c r="E301" s="29">
        <v>0</v>
      </c>
      <c r="F301" s="138">
        <v>0</v>
      </c>
      <c r="G301" s="29">
        <v>0</v>
      </c>
      <c r="H301" s="29">
        <v>60000</v>
      </c>
      <c r="I301" s="138">
        <v>0</v>
      </c>
    </row>
    <row r="302" spans="1:9" ht="31.5">
      <c r="A302" s="14"/>
      <c r="B302" s="42" t="s">
        <v>294</v>
      </c>
      <c r="C302" s="29">
        <v>0</v>
      </c>
      <c r="D302" s="29">
        <v>7300</v>
      </c>
      <c r="E302" s="29">
        <v>7300</v>
      </c>
      <c r="F302" s="138">
        <f>(E302/D302)*100</f>
        <v>100</v>
      </c>
      <c r="G302" s="29">
        <v>7300</v>
      </c>
      <c r="H302" s="29">
        <v>0</v>
      </c>
      <c r="I302" s="138">
        <f>(H302/G302)*100</f>
        <v>0</v>
      </c>
    </row>
    <row r="303" spans="1:9" ht="15.75">
      <c r="A303" s="14"/>
      <c r="B303" s="42" t="s">
        <v>339</v>
      </c>
      <c r="C303" s="29"/>
      <c r="D303" s="29">
        <v>0</v>
      </c>
      <c r="E303" s="29">
        <v>0</v>
      </c>
      <c r="F303" s="138">
        <v>0</v>
      </c>
      <c r="G303" s="29">
        <v>0</v>
      </c>
      <c r="H303" s="29">
        <v>6000</v>
      </c>
      <c r="I303" s="138">
        <v>0</v>
      </c>
    </row>
    <row r="304" spans="1:9" ht="15.75" customHeight="1">
      <c r="A304" s="14"/>
      <c r="B304" s="42" t="s">
        <v>295</v>
      </c>
      <c r="C304" s="29">
        <v>0</v>
      </c>
      <c r="D304" s="29">
        <v>4000</v>
      </c>
      <c r="E304" s="29">
        <v>3967</v>
      </c>
      <c r="F304" s="138">
        <f>(E304/D304)*100</f>
        <v>99.175</v>
      </c>
      <c r="G304" s="29">
        <v>3967</v>
      </c>
      <c r="H304" s="29">
        <v>0</v>
      </c>
      <c r="I304" s="138">
        <f>(H304/G304)*100</f>
        <v>0</v>
      </c>
    </row>
    <row r="305" spans="1:9" ht="31.5">
      <c r="A305" s="14"/>
      <c r="B305" s="77" t="s">
        <v>296</v>
      </c>
      <c r="C305" s="67">
        <v>25000</v>
      </c>
      <c r="D305" s="67">
        <v>43000</v>
      </c>
      <c r="E305" s="67">
        <v>26554.07</v>
      </c>
      <c r="F305" s="138">
        <f>(E305/D305)*100</f>
        <v>61.7536511627907</v>
      </c>
      <c r="G305" s="67">
        <v>26554.07</v>
      </c>
      <c r="H305" s="67">
        <v>0</v>
      </c>
      <c r="I305" s="138">
        <f>(H305/G305)*100</f>
        <v>0</v>
      </c>
    </row>
    <row r="306" spans="1:9" ht="31.5">
      <c r="A306" s="39"/>
      <c r="B306" s="77" t="s">
        <v>298</v>
      </c>
      <c r="C306" s="67">
        <v>25000</v>
      </c>
      <c r="D306" s="67">
        <v>0</v>
      </c>
      <c r="E306" s="67">
        <v>0</v>
      </c>
      <c r="F306" s="138">
        <v>0</v>
      </c>
      <c r="G306" s="67">
        <v>0</v>
      </c>
      <c r="H306" s="67">
        <v>33000</v>
      </c>
      <c r="I306" s="138">
        <v>0</v>
      </c>
    </row>
    <row r="307" spans="1:9" ht="9.75" customHeight="1">
      <c r="A307" s="31"/>
      <c r="B307" s="51"/>
      <c r="C307" s="33"/>
      <c r="D307" s="33"/>
      <c r="E307" s="33"/>
      <c r="F307" s="33"/>
      <c r="G307" s="33"/>
      <c r="H307" s="33"/>
      <c r="I307" s="33"/>
    </row>
    <row r="308" spans="1:9" ht="15.75">
      <c r="A308" s="38">
        <v>80106</v>
      </c>
      <c r="B308" s="104" t="s">
        <v>304</v>
      </c>
      <c r="C308" s="125">
        <f>SUM(C313,C317,C324)</f>
        <v>700</v>
      </c>
      <c r="D308" s="125">
        <f>SUM(D310:D312)</f>
        <v>5175</v>
      </c>
      <c r="E308" s="125">
        <f>SUM(E310:E312)</f>
        <v>0</v>
      </c>
      <c r="F308" s="137">
        <f>(E308/D308)*100</f>
        <v>0</v>
      </c>
      <c r="G308" s="125">
        <f>SUM(G310:G312)</f>
        <v>10350</v>
      </c>
      <c r="H308" s="125">
        <f>SUM(H310:H312)</f>
        <v>225600</v>
      </c>
      <c r="I308" s="137">
        <v>0</v>
      </c>
    </row>
    <row r="309" spans="1:9" ht="8.25" customHeight="1">
      <c r="A309" s="73"/>
      <c r="B309" s="65"/>
      <c r="C309" s="55"/>
      <c r="D309" s="55"/>
      <c r="E309" s="55"/>
      <c r="F309" s="142"/>
      <c r="G309" s="55"/>
      <c r="H309" s="55"/>
      <c r="I309" s="142"/>
    </row>
    <row r="310" spans="1:9" ht="15.75">
      <c r="A310" s="14"/>
      <c r="B310" s="27" t="s">
        <v>304</v>
      </c>
      <c r="C310" s="29"/>
      <c r="D310" s="29">
        <v>5175</v>
      </c>
      <c r="E310" s="29">
        <v>0</v>
      </c>
      <c r="F310" s="138">
        <f>(E310/D310)*100</f>
        <v>0</v>
      </c>
      <c r="G310" s="29">
        <v>10350</v>
      </c>
      <c r="H310" s="29">
        <v>0</v>
      </c>
      <c r="I310" s="138">
        <v>0</v>
      </c>
    </row>
    <row r="311" spans="1:9" ht="30.75">
      <c r="A311" s="14"/>
      <c r="B311" s="42" t="s">
        <v>173</v>
      </c>
      <c r="C311" s="81">
        <v>144757</v>
      </c>
      <c r="D311" s="81">
        <v>0</v>
      </c>
      <c r="E311" s="81">
        <v>0</v>
      </c>
      <c r="F311" s="138">
        <v>0</v>
      </c>
      <c r="G311" s="81">
        <v>0</v>
      </c>
      <c r="H311" s="81">
        <f>112800</f>
        <v>112800</v>
      </c>
      <c r="I311" s="138">
        <v>0</v>
      </c>
    </row>
    <row r="312" spans="1:9" ht="30.75">
      <c r="A312" s="14"/>
      <c r="B312" s="42" t="s">
        <v>297</v>
      </c>
      <c r="C312" s="81">
        <v>144757</v>
      </c>
      <c r="D312" s="81">
        <v>0</v>
      </c>
      <c r="E312" s="81">
        <v>0</v>
      </c>
      <c r="F312" s="138">
        <v>0</v>
      </c>
      <c r="G312" s="81">
        <v>0</v>
      </c>
      <c r="H312" s="81">
        <v>112800</v>
      </c>
      <c r="I312" s="138">
        <v>0</v>
      </c>
    </row>
    <row r="313" spans="1:9" ht="9" customHeight="1">
      <c r="A313" s="31"/>
      <c r="B313" s="51"/>
      <c r="C313" s="33"/>
      <c r="D313" s="33"/>
      <c r="E313" s="33"/>
      <c r="F313" s="33"/>
      <c r="G313" s="33"/>
      <c r="H313" s="33"/>
      <c r="I313" s="33"/>
    </row>
    <row r="314" spans="1:9" ht="15.75">
      <c r="A314" s="38">
        <v>80110</v>
      </c>
      <c r="B314" s="39" t="s">
        <v>46</v>
      </c>
      <c r="C314" s="25" t="e">
        <f>SUM(C316,C320,#REF!)</f>
        <v>#REF!</v>
      </c>
      <c r="D314" s="25">
        <f>SUM(D316,D320,D329)</f>
        <v>8687572</v>
      </c>
      <c r="E314" s="25">
        <f>SUM(E316,E320,E329)</f>
        <v>6399007.4399999995</v>
      </c>
      <c r="F314" s="137">
        <f>(E314/D314)*100</f>
        <v>73.65702914462176</v>
      </c>
      <c r="G314" s="25">
        <f>SUM(G316,G320,G329)</f>
        <v>8669571.92</v>
      </c>
      <c r="H314" s="25">
        <f>SUM(H316,H320,H329)</f>
        <v>8932005</v>
      </c>
      <c r="I314" s="137">
        <f>(H314/G314)*100</f>
        <v>103.02705926453632</v>
      </c>
    </row>
    <row r="315" spans="1:9" ht="3.75" customHeight="1">
      <c r="A315" s="14"/>
      <c r="B315" s="14"/>
      <c r="C315" s="40"/>
      <c r="D315" s="40"/>
      <c r="E315" s="40"/>
      <c r="F315" s="40"/>
      <c r="G315" s="40"/>
      <c r="H315" s="40"/>
      <c r="I315" s="40"/>
    </row>
    <row r="316" spans="1:9" ht="15.75">
      <c r="A316" s="14"/>
      <c r="B316" s="63" t="s">
        <v>79</v>
      </c>
      <c r="C316" s="26">
        <f>8909109+385157-300000-95500</f>
        <v>8898766</v>
      </c>
      <c r="D316" s="26">
        <v>8663872</v>
      </c>
      <c r="E316" s="26">
        <v>6393487.52</v>
      </c>
      <c r="F316" s="142">
        <f>(E316/D316)*100</f>
        <v>73.79480583277315</v>
      </c>
      <c r="G316" s="26">
        <v>8663872</v>
      </c>
      <c r="H316" s="26">
        <f>8567465+318000-4000-136000</f>
        <v>8745465</v>
      </c>
      <c r="I316" s="142">
        <f>(H316/G316)*100</f>
        <v>100.94176137412927</v>
      </c>
    </row>
    <row r="317" spans="1:9" ht="15.75">
      <c r="A317" s="14"/>
      <c r="B317" s="65" t="s">
        <v>93</v>
      </c>
      <c r="C317" s="26"/>
      <c r="D317" s="26"/>
      <c r="E317" s="26"/>
      <c r="F317" s="26"/>
      <c r="G317" s="26"/>
      <c r="H317" s="26"/>
      <c r="I317" s="26"/>
    </row>
    <row r="318" spans="1:9" ht="15.75">
      <c r="A318" s="14"/>
      <c r="B318" s="27" t="s">
        <v>76</v>
      </c>
      <c r="C318" s="29">
        <f>7583464+385157-300000</f>
        <v>7668621</v>
      </c>
      <c r="D318" s="29">
        <v>7401873</v>
      </c>
      <c r="E318" s="29">
        <v>5448833.47</v>
      </c>
      <c r="F318" s="138">
        <f>(E318/D318)*100</f>
        <v>73.61425236558368</v>
      </c>
      <c r="G318" s="29">
        <f>7401873-100000</f>
        <v>7301873</v>
      </c>
      <c r="H318" s="29">
        <f>7372881+318000-4000-136000</f>
        <v>7550881</v>
      </c>
      <c r="I318" s="138">
        <f>(H318/G318)*100</f>
        <v>103.41019352158001</v>
      </c>
    </row>
    <row r="319" spans="1:9" ht="15.75">
      <c r="A319" s="14"/>
      <c r="B319" s="27" t="s">
        <v>48</v>
      </c>
      <c r="C319" s="29">
        <v>30320</v>
      </c>
      <c r="D319" s="29">
        <v>27320</v>
      </c>
      <c r="E319" s="29">
        <v>14351</v>
      </c>
      <c r="F319" s="138">
        <f>(E319/D319)*100</f>
        <v>52.52928257686676</v>
      </c>
      <c r="G319" s="29">
        <v>27320</v>
      </c>
      <c r="H319" s="29">
        <v>30320</v>
      </c>
      <c r="I319" s="138">
        <f>(H319/G319)*100</f>
        <v>110.9809663250366</v>
      </c>
    </row>
    <row r="320" spans="1:9" ht="15.75">
      <c r="A320" s="14"/>
      <c r="B320" s="65" t="s">
        <v>80</v>
      </c>
      <c r="C320" s="26">
        <f>SUM(C322:C326)</f>
        <v>39900</v>
      </c>
      <c r="D320" s="26">
        <f>SUM(D322:D328)</f>
        <v>23700</v>
      </c>
      <c r="E320" s="26">
        <f>SUM(E322:E328)</f>
        <v>5519.92</v>
      </c>
      <c r="F320" s="142">
        <f>(E320/D320)*100</f>
        <v>23.29080168776371</v>
      </c>
      <c r="G320" s="26">
        <f>SUM(G322:G328)</f>
        <v>5699.92</v>
      </c>
      <c r="H320" s="26">
        <f>SUM(H322:H328)</f>
        <v>151540</v>
      </c>
      <c r="I320" s="142">
        <f>(H320/G320)*100</f>
        <v>2658.633805386742</v>
      </c>
    </row>
    <row r="321" spans="1:9" ht="15.75">
      <c r="A321" s="14"/>
      <c r="B321" s="65" t="s">
        <v>2</v>
      </c>
      <c r="C321" s="116"/>
      <c r="D321" s="116"/>
      <c r="E321" s="116"/>
      <c r="F321" s="116"/>
      <c r="G321" s="116"/>
      <c r="H321" s="116"/>
      <c r="I321" s="116"/>
    </row>
    <row r="322" spans="1:9" ht="30.75">
      <c r="A322" s="14"/>
      <c r="B322" s="42" t="s">
        <v>303</v>
      </c>
      <c r="C322" s="29">
        <v>14400</v>
      </c>
      <c r="D322" s="29">
        <v>0</v>
      </c>
      <c r="E322" s="29">
        <v>0</v>
      </c>
      <c r="F322" s="138">
        <v>0</v>
      </c>
      <c r="G322" s="29">
        <v>0</v>
      </c>
      <c r="H322" s="29">
        <f>56440-7000</f>
        <v>49440</v>
      </c>
      <c r="I322" s="138">
        <v>0</v>
      </c>
    </row>
    <row r="323" spans="1:9" ht="15.75">
      <c r="A323" s="14"/>
      <c r="B323" s="43" t="s">
        <v>193</v>
      </c>
      <c r="C323" s="44">
        <v>3000</v>
      </c>
      <c r="D323" s="44">
        <v>3000</v>
      </c>
      <c r="E323" s="44">
        <v>2999.92</v>
      </c>
      <c r="F323" s="138">
        <f>(E323/D323)*100</f>
        <v>99.99733333333334</v>
      </c>
      <c r="G323" s="44">
        <v>2999.92</v>
      </c>
      <c r="H323" s="44">
        <v>3000</v>
      </c>
      <c r="I323" s="138">
        <f>(H323/G323)*100</f>
        <v>100.00266673777966</v>
      </c>
    </row>
    <row r="324" spans="1:9" ht="75.75">
      <c r="A324" s="14"/>
      <c r="B324" s="77" t="s">
        <v>308</v>
      </c>
      <c r="C324" s="67">
        <v>700</v>
      </c>
      <c r="D324" s="67">
        <v>700</v>
      </c>
      <c r="E324" s="67">
        <v>520</v>
      </c>
      <c r="F324" s="138">
        <f>(E324/D324)*100</f>
        <v>74.28571428571429</v>
      </c>
      <c r="G324" s="67">
        <v>700</v>
      </c>
      <c r="H324" s="67">
        <f>2950-1350</f>
        <v>1600</v>
      </c>
      <c r="I324" s="138">
        <f>(H324/G324)*100</f>
        <v>228.57142857142856</v>
      </c>
    </row>
    <row r="325" spans="1:9" ht="15.75">
      <c r="A325" s="46"/>
      <c r="B325" s="95" t="s">
        <v>194</v>
      </c>
      <c r="C325" s="62">
        <v>1800</v>
      </c>
      <c r="D325" s="62">
        <v>0</v>
      </c>
      <c r="E325" s="62">
        <v>0</v>
      </c>
      <c r="F325" s="138">
        <v>0</v>
      </c>
      <c r="G325" s="62">
        <v>0</v>
      </c>
      <c r="H325" s="62">
        <v>2500</v>
      </c>
      <c r="I325" s="138">
        <v>0</v>
      </c>
    </row>
    <row r="326" spans="1:9" ht="30.75">
      <c r="A326" s="14"/>
      <c r="B326" s="77" t="s">
        <v>302</v>
      </c>
      <c r="C326" s="67">
        <v>20000</v>
      </c>
      <c r="D326" s="67">
        <v>18000</v>
      </c>
      <c r="E326" s="67">
        <v>0</v>
      </c>
      <c r="F326" s="138">
        <f>(E326/D326)*100</f>
        <v>0</v>
      </c>
      <c r="G326" s="67">
        <v>0</v>
      </c>
      <c r="H326" s="67">
        <v>65000</v>
      </c>
      <c r="I326" s="138">
        <v>0</v>
      </c>
    </row>
    <row r="327" spans="1:9" ht="30.75">
      <c r="A327" s="14"/>
      <c r="B327" s="77" t="s">
        <v>306</v>
      </c>
      <c r="C327" s="67"/>
      <c r="D327" s="67">
        <v>2000</v>
      </c>
      <c r="E327" s="67">
        <v>2000</v>
      </c>
      <c r="F327" s="138">
        <f>(E327/D327)*100</f>
        <v>100</v>
      </c>
      <c r="G327" s="67">
        <v>2000</v>
      </c>
      <c r="H327" s="67">
        <v>0</v>
      </c>
      <c r="I327" s="144">
        <f>(H327/G327)*100</f>
        <v>0</v>
      </c>
    </row>
    <row r="328" spans="1:9" ht="15.75">
      <c r="A328" s="14"/>
      <c r="B328" s="77" t="s">
        <v>307</v>
      </c>
      <c r="C328" s="67"/>
      <c r="D328" s="67">
        <v>0</v>
      </c>
      <c r="E328" s="67">
        <v>0</v>
      </c>
      <c r="F328" s="144">
        <v>0</v>
      </c>
      <c r="G328" s="67">
        <v>0</v>
      </c>
      <c r="H328" s="67">
        <v>30000</v>
      </c>
      <c r="I328" s="144">
        <v>0</v>
      </c>
    </row>
    <row r="329" spans="1:9" ht="15.75">
      <c r="A329" s="14"/>
      <c r="B329" s="54" t="s">
        <v>107</v>
      </c>
      <c r="C329" s="26">
        <f>SUM(C331:C341)</f>
        <v>122000</v>
      </c>
      <c r="D329" s="26">
        <f>SUM(D331)</f>
        <v>0</v>
      </c>
      <c r="E329" s="26">
        <f>SUM(E331)</f>
        <v>0</v>
      </c>
      <c r="F329" s="142">
        <v>0</v>
      </c>
      <c r="G329" s="26">
        <f>SUM(G331)</f>
        <v>0</v>
      </c>
      <c r="H329" s="26">
        <f>SUM(H331)</f>
        <v>35000</v>
      </c>
      <c r="I329" s="142">
        <v>0</v>
      </c>
    </row>
    <row r="330" spans="1:9" ht="15.75">
      <c r="A330" s="14"/>
      <c r="B330" s="54" t="s">
        <v>2</v>
      </c>
      <c r="C330" s="26"/>
      <c r="D330" s="26"/>
      <c r="E330" s="26"/>
      <c r="F330" s="26"/>
      <c r="G330" s="26"/>
      <c r="H330" s="26"/>
      <c r="I330" s="26"/>
    </row>
    <row r="331" spans="1:9" ht="15.75">
      <c r="A331" s="39"/>
      <c r="B331" s="42" t="s">
        <v>305</v>
      </c>
      <c r="C331" s="29">
        <v>10000</v>
      </c>
      <c r="D331" s="29">
        <v>0</v>
      </c>
      <c r="E331" s="29">
        <v>0</v>
      </c>
      <c r="F331" s="138">
        <v>0</v>
      </c>
      <c r="G331" s="29">
        <v>0</v>
      </c>
      <c r="H331" s="29">
        <v>35000</v>
      </c>
      <c r="I331" s="138">
        <v>0</v>
      </c>
    </row>
    <row r="332" spans="1:9" ht="16.5" thickBot="1">
      <c r="A332" s="149"/>
      <c r="B332" s="152"/>
      <c r="C332" s="150"/>
      <c r="D332" s="150"/>
      <c r="E332" s="150"/>
      <c r="F332" s="151"/>
      <c r="G332" s="150"/>
      <c r="H332" s="150"/>
      <c r="I332" s="151"/>
    </row>
    <row r="333" spans="1:9" ht="15.75">
      <c r="A333" s="2"/>
      <c r="B333" s="3"/>
      <c r="C333" s="4"/>
      <c r="D333" s="4"/>
      <c r="E333" s="4"/>
      <c r="F333" s="4"/>
      <c r="G333" s="4"/>
      <c r="H333" s="4"/>
      <c r="I333" s="4"/>
    </row>
    <row r="334" spans="1:9" ht="15.75">
      <c r="A334" s="5" t="s">
        <v>19</v>
      </c>
      <c r="B334" s="6" t="s">
        <v>0</v>
      </c>
      <c r="C334" s="7" t="s">
        <v>205</v>
      </c>
      <c r="D334" s="7" t="s">
        <v>205</v>
      </c>
      <c r="E334" s="7" t="s">
        <v>207</v>
      </c>
      <c r="F334" s="7" t="s">
        <v>208</v>
      </c>
      <c r="G334" s="7" t="s">
        <v>227</v>
      </c>
      <c r="H334" s="7" t="s">
        <v>228</v>
      </c>
      <c r="I334" s="7" t="s">
        <v>208</v>
      </c>
    </row>
    <row r="335" spans="1:9" ht="15.75">
      <c r="A335" s="5" t="s">
        <v>21</v>
      </c>
      <c r="B335" s="8"/>
      <c r="C335" s="7" t="s">
        <v>206</v>
      </c>
      <c r="D335" s="7" t="s">
        <v>226</v>
      </c>
      <c r="E335" s="7" t="s">
        <v>226</v>
      </c>
      <c r="F335" s="7" t="s">
        <v>209</v>
      </c>
      <c r="G335" s="7" t="s">
        <v>229</v>
      </c>
      <c r="H335" s="7" t="s">
        <v>231</v>
      </c>
      <c r="I335" s="7" t="s">
        <v>209</v>
      </c>
    </row>
    <row r="336" spans="1:9" ht="16.5" thickBot="1">
      <c r="A336" s="9"/>
      <c r="B336" s="10"/>
      <c r="C336" s="11" t="s">
        <v>186</v>
      </c>
      <c r="D336" s="11" t="s">
        <v>186</v>
      </c>
      <c r="E336" s="11" t="s">
        <v>186</v>
      </c>
      <c r="F336" s="11"/>
      <c r="G336" s="11" t="s">
        <v>230</v>
      </c>
      <c r="H336" s="11" t="s">
        <v>232</v>
      </c>
      <c r="I336" s="11"/>
    </row>
    <row r="337" spans="1:9" ht="15.75">
      <c r="A337" s="14"/>
      <c r="B337" s="58"/>
      <c r="C337" s="37"/>
      <c r="D337" s="37"/>
      <c r="E337" s="37"/>
      <c r="F337" s="37"/>
      <c r="G337" s="37"/>
      <c r="H337" s="37"/>
      <c r="I337" s="37"/>
    </row>
    <row r="338" spans="1:9" s="96" customFormat="1" ht="15.75">
      <c r="A338" s="38">
        <v>80113</v>
      </c>
      <c r="B338" s="83" t="s">
        <v>83</v>
      </c>
      <c r="C338" s="25">
        <f>SUM(C340)</f>
        <v>56000</v>
      </c>
      <c r="D338" s="25">
        <f>SUM(D340)</f>
        <v>56000</v>
      </c>
      <c r="E338" s="25">
        <f>SUM(E340)</f>
        <v>35725.44</v>
      </c>
      <c r="F338" s="137">
        <f>(E338/D338)*100</f>
        <v>63.79542857142858</v>
      </c>
      <c r="G338" s="25">
        <f>SUM(G340)</f>
        <v>56000</v>
      </c>
      <c r="H338" s="25">
        <f>SUM(H340)</f>
        <v>70000</v>
      </c>
      <c r="I338" s="137">
        <f>(H338/G338)*100</f>
        <v>125</v>
      </c>
    </row>
    <row r="339" spans="1:9" ht="6" customHeight="1">
      <c r="A339" s="14"/>
      <c r="B339" s="58"/>
      <c r="C339" s="26"/>
      <c r="D339" s="26"/>
      <c r="E339" s="26"/>
      <c r="F339" s="26"/>
      <c r="G339" s="26"/>
      <c r="H339" s="26"/>
      <c r="I339" s="26"/>
    </row>
    <row r="340" spans="1:9" ht="30" customHeight="1">
      <c r="A340" s="39"/>
      <c r="B340" s="42" t="s">
        <v>183</v>
      </c>
      <c r="C340" s="29">
        <v>56000</v>
      </c>
      <c r="D340" s="29">
        <v>56000</v>
      </c>
      <c r="E340" s="29">
        <v>35725.44</v>
      </c>
      <c r="F340" s="138">
        <f>(E340/D340)*100</f>
        <v>63.79542857142858</v>
      </c>
      <c r="G340" s="29">
        <v>56000</v>
      </c>
      <c r="H340" s="29">
        <v>70000</v>
      </c>
      <c r="I340" s="138">
        <f>(H340/G340)*100</f>
        <v>125</v>
      </c>
    </row>
    <row r="341" spans="1:9" ht="5.25" customHeight="1">
      <c r="A341" s="14"/>
      <c r="B341" s="14"/>
      <c r="C341" s="37"/>
      <c r="D341" s="37"/>
      <c r="E341" s="37"/>
      <c r="F341" s="37"/>
      <c r="G341" s="37"/>
      <c r="H341" s="37"/>
      <c r="I341" s="37"/>
    </row>
    <row r="342" spans="1:9" ht="15.75">
      <c r="A342" s="38">
        <v>80146</v>
      </c>
      <c r="B342" s="68" t="s">
        <v>49</v>
      </c>
      <c r="C342" s="25">
        <f>SUM(C344,C347:C347)</f>
        <v>169687</v>
      </c>
      <c r="D342" s="25">
        <f>SUM(D344,D347:D347)</f>
        <v>163958</v>
      </c>
      <c r="E342" s="25">
        <f>SUM(E344,E347:E347)</f>
        <v>73798.03</v>
      </c>
      <c r="F342" s="137">
        <f>(E342/D342)*100</f>
        <v>45.01032581514778</v>
      </c>
      <c r="G342" s="25">
        <f>SUM(G344,G347:G347)</f>
        <v>163958</v>
      </c>
      <c r="H342" s="25">
        <f>SUM(H344,H347:H347)</f>
        <v>165738</v>
      </c>
      <c r="I342" s="137">
        <f>(H342/G342)*100</f>
        <v>101.08564388440942</v>
      </c>
    </row>
    <row r="343" spans="1:9" ht="6" customHeight="1">
      <c r="A343" s="14"/>
      <c r="B343" s="71"/>
      <c r="C343" s="26"/>
      <c r="D343" s="26"/>
      <c r="E343" s="26"/>
      <c r="F343" s="26"/>
      <c r="G343" s="26"/>
      <c r="H343" s="26"/>
      <c r="I343" s="26"/>
    </row>
    <row r="344" spans="1:9" ht="30">
      <c r="A344" s="14"/>
      <c r="B344" s="61" t="s">
        <v>175</v>
      </c>
      <c r="C344" s="44">
        <v>128958</v>
      </c>
      <c r="D344" s="44">
        <v>128958</v>
      </c>
      <c r="E344" s="44">
        <v>52798.03</v>
      </c>
      <c r="F344" s="138">
        <f>(E344/D344)*100</f>
        <v>40.94203539136773</v>
      </c>
      <c r="G344" s="44">
        <v>128958</v>
      </c>
      <c r="H344" s="44">
        <v>124303</v>
      </c>
      <c r="I344" s="138">
        <f>(H344/G344)*100</f>
        <v>96.39029761627816</v>
      </c>
    </row>
    <row r="345" spans="1:9" ht="15.75" hidden="1">
      <c r="A345" s="14"/>
      <c r="B345" s="61" t="s">
        <v>2</v>
      </c>
      <c r="C345" s="44"/>
      <c r="D345" s="44"/>
      <c r="E345" s="44"/>
      <c r="F345" s="138" t="e">
        <f>(E345/D345)*100</f>
        <v>#DIV/0!</v>
      </c>
      <c r="G345" s="44"/>
      <c r="H345" s="44"/>
      <c r="I345" s="138" t="e">
        <f>(H345/G345)*100</f>
        <v>#DIV/0!</v>
      </c>
    </row>
    <row r="346" spans="1:9" ht="15.75" hidden="1">
      <c r="A346" s="14"/>
      <c r="B346" s="60" t="s">
        <v>74</v>
      </c>
      <c r="C346" s="29">
        <v>0</v>
      </c>
      <c r="D346" s="29">
        <v>0</v>
      </c>
      <c r="E346" s="29">
        <v>0</v>
      </c>
      <c r="F346" s="138" t="e">
        <f>(E346/D346)*100</f>
        <v>#DIV/0!</v>
      </c>
      <c r="G346" s="29">
        <v>0</v>
      </c>
      <c r="H346" s="29">
        <v>0</v>
      </c>
      <c r="I346" s="138" t="e">
        <f>(H346/G346)*100</f>
        <v>#DIV/0!</v>
      </c>
    </row>
    <row r="347" spans="1:9" ht="45.75">
      <c r="A347" s="39"/>
      <c r="B347" s="77" t="s">
        <v>176</v>
      </c>
      <c r="C347" s="67">
        <v>40729</v>
      </c>
      <c r="D347" s="67">
        <v>35000</v>
      </c>
      <c r="E347" s="67">
        <v>21000</v>
      </c>
      <c r="F347" s="138">
        <f>(E347/D347)*100</f>
        <v>60</v>
      </c>
      <c r="G347" s="67">
        <v>35000</v>
      </c>
      <c r="H347" s="67">
        <v>41435</v>
      </c>
      <c r="I347" s="138">
        <f>(H347/G347)*100</f>
        <v>118.3857142857143</v>
      </c>
    </row>
    <row r="348" spans="1:9" ht="3.75" customHeight="1">
      <c r="A348" s="14"/>
      <c r="B348" s="14"/>
      <c r="C348" s="37"/>
      <c r="D348" s="37"/>
      <c r="E348" s="37"/>
      <c r="F348" s="37"/>
      <c r="G348" s="37"/>
      <c r="H348" s="37"/>
      <c r="I348" s="37"/>
    </row>
    <row r="349" spans="1:9" ht="15.75">
      <c r="A349" s="38">
        <v>80195</v>
      </c>
      <c r="B349" s="68" t="s">
        <v>23</v>
      </c>
      <c r="C349" s="25">
        <f>SUM(C351)</f>
        <v>376162</v>
      </c>
      <c r="D349" s="25">
        <f>SUM(D351)</f>
        <v>382799</v>
      </c>
      <c r="E349" s="25">
        <f>SUM(E351)</f>
        <v>347548.91000000003</v>
      </c>
      <c r="F349" s="137">
        <f>(E349/D349)*100</f>
        <v>90.79148848351224</v>
      </c>
      <c r="G349" s="25">
        <f>SUM(G351)</f>
        <v>360197.9</v>
      </c>
      <c r="H349" s="25">
        <f>SUM(H351)</f>
        <v>390166</v>
      </c>
      <c r="I349" s="137">
        <f>(H349/G349)*100</f>
        <v>108.31989858908115</v>
      </c>
    </row>
    <row r="350" spans="1:9" ht="3.75" customHeight="1">
      <c r="A350" s="14"/>
      <c r="B350" s="14"/>
      <c r="C350" s="40"/>
      <c r="D350" s="40"/>
      <c r="E350" s="40"/>
      <c r="F350" s="40"/>
      <c r="G350" s="40"/>
      <c r="H350" s="40"/>
      <c r="I350" s="142" t="e">
        <f>(H350/G350)*100</f>
        <v>#DIV/0!</v>
      </c>
    </row>
    <row r="351" spans="1:9" ht="14.25" customHeight="1">
      <c r="A351" s="14"/>
      <c r="B351" s="14" t="s">
        <v>102</v>
      </c>
      <c r="C351" s="26">
        <f>SUM(C353:C358)</f>
        <v>376162</v>
      </c>
      <c r="D351" s="26">
        <f>SUM(D353:D358)</f>
        <v>382799</v>
      </c>
      <c r="E351" s="26">
        <f>SUM(E353:E358)</f>
        <v>347548.91000000003</v>
      </c>
      <c r="F351" s="142">
        <f>(E351/D351)*100</f>
        <v>90.79148848351224</v>
      </c>
      <c r="G351" s="26">
        <f>SUM(G353:G358)</f>
        <v>360197.9</v>
      </c>
      <c r="H351" s="26">
        <f>SUM(H353:H358)</f>
        <v>390166</v>
      </c>
      <c r="I351" s="142">
        <f>(H351/G351)*100</f>
        <v>108.31989858908115</v>
      </c>
    </row>
    <row r="352" spans="1:9" ht="14.25" customHeight="1">
      <c r="A352" s="14"/>
      <c r="B352" s="14" t="s">
        <v>2</v>
      </c>
      <c r="C352" s="26"/>
      <c r="D352" s="26"/>
      <c r="E352" s="26"/>
      <c r="F352" s="26"/>
      <c r="G352" s="26"/>
      <c r="H352" s="26"/>
      <c r="I352" s="26"/>
    </row>
    <row r="353" spans="1:9" ht="30.75">
      <c r="A353" s="14"/>
      <c r="B353" s="42" t="s">
        <v>312</v>
      </c>
      <c r="C353" s="29">
        <v>450</v>
      </c>
      <c r="D353" s="29">
        <v>1169</v>
      </c>
      <c r="E353" s="29">
        <v>908.51</v>
      </c>
      <c r="F353" s="138">
        <f aca="true" t="shared" si="7" ref="F353:F358">(E353/D353)*100</f>
        <v>77.71685201026519</v>
      </c>
      <c r="G353" s="29">
        <v>1169</v>
      </c>
      <c r="H353" s="29">
        <v>1260</v>
      </c>
      <c r="I353" s="138">
        <f aca="true" t="shared" si="8" ref="I353:I358">(H353/G353)*100</f>
        <v>107.78443113772455</v>
      </c>
    </row>
    <row r="354" spans="1:9" ht="30">
      <c r="A354" s="14"/>
      <c r="B354" s="60" t="s">
        <v>170</v>
      </c>
      <c r="C354" s="29">
        <v>293212</v>
      </c>
      <c r="D354" s="29">
        <v>293212</v>
      </c>
      <c r="E354" s="29">
        <v>284230</v>
      </c>
      <c r="F354" s="138">
        <f t="shared" si="7"/>
        <v>96.93668744798985</v>
      </c>
      <c r="G354" s="29">
        <v>293212</v>
      </c>
      <c r="H354" s="29">
        <f>257212+58694</f>
        <v>315906</v>
      </c>
      <c r="I354" s="138">
        <f t="shared" si="8"/>
        <v>107.73979236866158</v>
      </c>
    </row>
    <row r="355" spans="1:9" ht="45">
      <c r="A355" s="14"/>
      <c r="B355" s="66" t="s">
        <v>171</v>
      </c>
      <c r="C355" s="67">
        <v>46500</v>
      </c>
      <c r="D355" s="67">
        <v>42568</v>
      </c>
      <c r="E355" s="67">
        <v>38121.9</v>
      </c>
      <c r="F355" s="138">
        <f t="shared" si="7"/>
        <v>89.55529975568503</v>
      </c>
      <c r="G355" s="67">
        <v>38121.9</v>
      </c>
      <c r="H355" s="67">
        <v>51000</v>
      </c>
      <c r="I355" s="138">
        <f t="shared" si="8"/>
        <v>133.78136976383652</v>
      </c>
    </row>
    <row r="356" spans="1:9" ht="30.75">
      <c r="A356" s="14"/>
      <c r="B356" s="77" t="s">
        <v>195</v>
      </c>
      <c r="C356" s="67">
        <v>16000</v>
      </c>
      <c r="D356" s="67">
        <v>10850</v>
      </c>
      <c r="E356" s="67">
        <v>10850</v>
      </c>
      <c r="F356" s="138">
        <f t="shared" si="7"/>
        <v>100</v>
      </c>
      <c r="G356" s="67">
        <v>10850</v>
      </c>
      <c r="H356" s="67">
        <v>12000</v>
      </c>
      <c r="I356" s="138">
        <f t="shared" si="8"/>
        <v>110.59907834101384</v>
      </c>
    </row>
    <row r="357" spans="1:9" ht="60.75">
      <c r="A357" s="14"/>
      <c r="B357" s="77" t="s">
        <v>310</v>
      </c>
      <c r="C357" s="67">
        <v>0</v>
      </c>
      <c r="D357" s="67">
        <v>15000</v>
      </c>
      <c r="E357" s="67">
        <v>11593.5</v>
      </c>
      <c r="F357" s="138">
        <f t="shared" si="7"/>
        <v>77.29</v>
      </c>
      <c r="G357" s="67">
        <v>15000</v>
      </c>
      <c r="H357" s="67">
        <v>0</v>
      </c>
      <c r="I357" s="138">
        <f t="shared" si="8"/>
        <v>0</v>
      </c>
    </row>
    <row r="358" spans="1:9" ht="15.75">
      <c r="A358" s="39"/>
      <c r="B358" s="77" t="s">
        <v>311</v>
      </c>
      <c r="C358" s="67">
        <v>20000</v>
      </c>
      <c r="D358" s="67">
        <v>20000</v>
      </c>
      <c r="E358" s="67">
        <v>1845</v>
      </c>
      <c r="F358" s="138">
        <f t="shared" si="7"/>
        <v>9.225</v>
      </c>
      <c r="G358" s="67">
        <v>1845</v>
      </c>
      <c r="H358" s="67">
        <v>10000</v>
      </c>
      <c r="I358" s="138">
        <f t="shared" si="8"/>
        <v>542.0054200542006</v>
      </c>
    </row>
    <row r="359" spans="1:9" ht="12.75" customHeight="1">
      <c r="A359" s="31"/>
      <c r="B359" s="31"/>
      <c r="C359" s="33"/>
      <c r="D359" s="33"/>
      <c r="E359" s="33"/>
      <c r="F359" s="33"/>
      <c r="G359" s="33"/>
      <c r="H359" s="33"/>
      <c r="I359" s="33"/>
    </row>
    <row r="360" spans="1:9" ht="16.5" thickBot="1">
      <c r="A360" s="34">
        <v>851</v>
      </c>
      <c r="B360" s="89" t="s">
        <v>50</v>
      </c>
      <c r="C360" s="36">
        <f>SUM(C362,C368,C375)</f>
        <v>848000</v>
      </c>
      <c r="D360" s="36">
        <f>SUM(D362,D368,D375)</f>
        <v>852285</v>
      </c>
      <c r="E360" s="36">
        <f>SUM(E362,E368,E375)</f>
        <v>683401.7</v>
      </c>
      <c r="F360" s="19">
        <f>(E360/D360)*100</f>
        <v>80.18464480778142</v>
      </c>
      <c r="G360" s="36">
        <f>SUM(G362,G368,G375)</f>
        <v>852285</v>
      </c>
      <c r="H360" s="36">
        <f>SUM(H362,H368,H375)</f>
        <v>844800</v>
      </c>
      <c r="I360" s="19">
        <f>(H360/G360)*100</f>
        <v>99.1217726464739</v>
      </c>
    </row>
    <row r="361" spans="1:9" ht="12.75" customHeight="1" thickTop="1">
      <c r="A361" s="14"/>
      <c r="B361" s="46"/>
      <c r="C361" s="26"/>
      <c r="D361" s="26"/>
      <c r="E361" s="26"/>
      <c r="F361" s="26"/>
      <c r="G361" s="26"/>
      <c r="H361" s="26"/>
      <c r="I361" s="26"/>
    </row>
    <row r="362" spans="1:9" ht="15.75">
      <c r="A362" s="38">
        <v>85153</v>
      </c>
      <c r="B362" s="97" t="s">
        <v>88</v>
      </c>
      <c r="C362" s="25">
        <f>SUM(C364)</f>
        <v>10000</v>
      </c>
      <c r="D362" s="25">
        <f>SUM(D364)</f>
        <v>14285</v>
      </c>
      <c r="E362" s="25">
        <f>SUM(E364)</f>
        <v>8531.63</v>
      </c>
      <c r="F362" s="137">
        <f>(E362/D362)*100</f>
        <v>59.724396219810984</v>
      </c>
      <c r="G362" s="25">
        <f>SUM(G364)</f>
        <v>14285</v>
      </c>
      <c r="H362" s="25">
        <f>SUM(H364)</f>
        <v>15000</v>
      </c>
      <c r="I362" s="137">
        <f>(H362/G362)*100</f>
        <v>105.00525026251313</v>
      </c>
    </row>
    <row r="363" spans="1:9" ht="10.5" customHeight="1">
      <c r="A363" s="14"/>
      <c r="B363" s="46"/>
      <c r="C363" s="26"/>
      <c r="D363" s="26"/>
      <c r="E363" s="26"/>
      <c r="F363" s="26"/>
      <c r="G363" s="26"/>
      <c r="H363" s="26"/>
      <c r="I363" s="26"/>
    </row>
    <row r="364" spans="1:9" ht="15.75">
      <c r="A364" s="14"/>
      <c r="B364" s="57" t="s">
        <v>120</v>
      </c>
      <c r="C364" s="29">
        <v>10000</v>
      </c>
      <c r="D364" s="29">
        <v>14285</v>
      </c>
      <c r="E364" s="29">
        <v>8531.63</v>
      </c>
      <c r="F364" s="138">
        <f>(E364/D364)*100</f>
        <v>59.724396219810984</v>
      </c>
      <c r="G364" s="29">
        <v>14285</v>
      </c>
      <c r="H364" s="29">
        <v>15000</v>
      </c>
      <c r="I364" s="138">
        <f>(H364/G364)*100</f>
        <v>105.00525026251313</v>
      </c>
    </row>
    <row r="365" spans="1:9" ht="15.75" hidden="1">
      <c r="A365" s="14"/>
      <c r="B365" s="43" t="s">
        <v>93</v>
      </c>
      <c r="C365" s="44"/>
      <c r="D365" s="44"/>
      <c r="E365" s="44"/>
      <c r="F365" s="44"/>
      <c r="G365" s="44"/>
      <c r="H365" s="44"/>
      <c r="I365" s="44"/>
    </row>
    <row r="366" spans="1:9" ht="15.75" hidden="1">
      <c r="A366" s="14"/>
      <c r="B366" s="43" t="s">
        <v>82</v>
      </c>
      <c r="C366" s="44">
        <f aca="true" t="shared" si="9" ref="C366:I366">9600-9600</f>
        <v>0</v>
      </c>
      <c r="D366" s="44">
        <f t="shared" si="9"/>
        <v>0</v>
      </c>
      <c r="E366" s="44">
        <f t="shared" si="9"/>
        <v>0</v>
      </c>
      <c r="F366" s="44">
        <f t="shared" si="9"/>
        <v>0</v>
      </c>
      <c r="G366" s="44">
        <f t="shared" si="9"/>
        <v>0</v>
      </c>
      <c r="H366" s="44">
        <f t="shared" si="9"/>
        <v>0</v>
      </c>
      <c r="I366" s="44">
        <f t="shared" si="9"/>
        <v>0</v>
      </c>
    </row>
    <row r="367" spans="1:9" ht="14.25" customHeight="1">
      <c r="A367" s="14"/>
      <c r="B367" s="91"/>
      <c r="C367" s="26"/>
      <c r="D367" s="26"/>
      <c r="E367" s="26"/>
      <c r="F367" s="26"/>
      <c r="G367" s="26"/>
      <c r="H367" s="26"/>
      <c r="I367" s="26"/>
    </row>
    <row r="368" spans="1:9" ht="15.75">
      <c r="A368" s="38">
        <v>85154</v>
      </c>
      <c r="B368" s="90" t="s">
        <v>51</v>
      </c>
      <c r="C368" s="26">
        <f>SUM(C370)</f>
        <v>770000</v>
      </c>
      <c r="D368" s="26">
        <f>SUM(D370)</f>
        <v>768290</v>
      </c>
      <c r="E368" s="26">
        <f>SUM(E370)</f>
        <v>621574.84</v>
      </c>
      <c r="F368" s="137">
        <f>(E368/D368)*100</f>
        <v>80.9036743937836</v>
      </c>
      <c r="G368" s="26">
        <f>SUM(G370)</f>
        <v>768290</v>
      </c>
      <c r="H368" s="26">
        <f>SUM(H370)</f>
        <v>760000</v>
      </c>
      <c r="I368" s="137">
        <f>(H368/G368)*100</f>
        <v>98.92098035897902</v>
      </c>
    </row>
    <row r="369" spans="1:9" ht="12.75" customHeight="1">
      <c r="A369" s="14"/>
      <c r="B369" s="31"/>
      <c r="C369" s="40"/>
      <c r="D369" s="40"/>
      <c r="E369" s="40"/>
      <c r="F369" s="40"/>
      <c r="G369" s="40"/>
      <c r="H369" s="40"/>
      <c r="I369" s="40"/>
    </row>
    <row r="370" spans="1:9" ht="30.75">
      <c r="A370" s="14"/>
      <c r="B370" s="43" t="s">
        <v>4</v>
      </c>
      <c r="C370" s="44">
        <v>770000</v>
      </c>
      <c r="D370" s="44">
        <v>768290</v>
      </c>
      <c r="E370" s="44">
        <v>621574.84</v>
      </c>
      <c r="F370" s="140">
        <f>(E370/D370)*100</f>
        <v>80.9036743937836</v>
      </c>
      <c r="G370" s="44">
        <v>768290</v>
      </c>
      <c r="H370" s="44">
        <v>760000</v>
      </c>
      <c r="I370" s="140">
        <f>(H370/G370)*100</f>
        <v>98.92098035897902</v>
      </c>
    </row>
    <row r="371" spans="1:9" ht="15.75">
      <c r="A371" s="14"/>
      <c r="B371" s="43" t="s">
        <v>93</v>
      </c>
      <c r="C371" s="44"/>
      <c r="D371" s="44"/>
      <c r="E371" s="44"/>
      <c r="F371" s="44"/>
      <c r="G371" s="44"/>
      <c r="H371" s="44"/>
      <c r="I371" s="44"/>
    </row>
    <row r="372" spans="1:9" ht="15.75">
      <c r="A372" s="14"/>
      <c r="B372" s="43" t="s">
        <v>82</v>
      </c>
      <c r="C372" s="44">
        <v>35000</v>
      </c>
      <c r="D372" s="44">
        <v>176520</v>
      </c>
      <c r="E372" s="44">
        <v>128988.32</v>
      </c>
      <c r="F372" s="140">
        <f>(E372/D372)*100</f>
        <v>73.072920915477</v>
      </c>
      <c r="G372" s="44">
        <v>176520</v>
      </c>
      <c r="H372" s="44">
        <v>35000</v>
      </c>
      <c r="I372" s="140">
        <f>(H372/G372)*100</f>
        <v>19.827781554498074</v>
      </c>
    </row>
    <row r="373" spans="1:9" ht="30.75">
      <c r="A373" s="14"/>
      <c r="B373" s="52" t="s">
        <v>17</v>
      </c>
      <c r="C373" s="29">
        <v>100000</v>
      </c>
      <c r="D373" s="29">
        <v>150000</v>
      </c>
      <c r="E373" s="29">
        <v>139988.75</v>
      </c>
      <c r="F373" s="138">
        <f>(E373/D373)*100</f>
        <v>93.32583333333334</v>
      </c>
      <c r="G373" s="29">
        <v>140220</v>
      </c>
      <c r="H373" s="29">
        <v>140000</v>
      </c>
      <c r="I373" s="138">
        <f>(H373/G373)*100</f>
        <v>99.84310369419484</v>
      </c>
    </row>
    <row r="374" spans="1:9" ht="12.75" customHeight="1">
      <c r="A374" s="14"/>
      <c r="B374" s="98"/>
      <c r="C374" s="40"/>
      <c r="D374" s="40"/>
      <c r="E374" s="40"/>
      <c r="F374" s="40"/>
      <c r="G374" s="40"/>
      <c r="H374" s="40"/>
      <c r="I374" s="40"/>
    </row>
    <row r="375" spans="1:9" ht="15.75">
      <c r="A375" s="38">
        <v>85195</v>
      </c>
      <c r="B375" s="90" t="s">
        <v>52</v>
      </c>
      <c r="C375" s="25">
        <f>SUM(C377)</f>
        <v>68000</v>
      </c>
      <c r="D375" s="25">
        <f>SUM(D377)</f>
        <v>69710</v>
      </c>
      <c r="E375" s="25">
        <f>SUM(E377)</f>
        <v>53295.23</v>
      </c>
      <c r="F375" s="137">
        <f>(E375/D375)*100</f>
        <v>76.45277578539664</v>
      </c>
      <c r="G375" s="25">
        <f>SUM(G377)</f>
        <v>69710</v>
      </c>
      <c r="H375" s="25">
        <f>SUM(H377)</f>
        <v>69800</v>
      </c>
      <c r="I375" s="137">
        <f>(H375/G375)*100</f>
        <v>100.1291062975183</v>
      </c>
    </row>
    <row r="376" spans="1:9" ht="12.75" customHeight="1">
      <c r="A376" s="14"/>
      <c r="B376" s="91"/>
      <c r="C376" s="26"/>
      <c r="D376" s="26"/>
      <c r="E376" s="26"/>
      <c r="F376" s="26"/>
      <c r="G376" s="26"/>
      <c r="H376" s="26"/>
      <c r="I376" s="26"/>
    </row>
    <row r="377" spans="1:9" ht="15.75">
      <c r="A377" s="14"/>
      <c r="B377" s="53" t="s">
        <v>15</v>
      </c>
      <c r="C377" s="44">
        <v>68000</v>
      </c>
      <c r="D377" s="44">
        <v>69710</v>
      </c>
      <c r="E377" s="44">
        <v>53295.23</v>
      </c>
      <c r="F377" s="140">
        <f>(E377/D377)*100</f>
        <v>76.45277578539664</v>
      </c>
      <c r="G377" s="44">
        <v>69710</v>
      </c>
      <c r="H377" s="44">
        <v>69800</v>
      </c>
      <c r="I377" s="140">
        <f>(H377/G377)*100</f>
        <v>100.1291062975183</v>
      </c>
    </row>
    <row r="378" spans="1:9" ht="15.75">
      <c r="A378" s="14"/>
      <c r="B378" s="43" t="s">
        <v>93</v>
      </c>
      <c r="C378" s="44"/>
      <c r="D378" s="44"/>
      <c r="E378" s="44"/>
      <c r="F378" s="44"/>
      <c r="G378" s="44"/>
      <c r="H378" s="44"/>
      <c r="I378" s="44"/>
    </row>
    <row r="379" spans="1:9" ht="15.75">
      <c r="A379" s="14"/>
      <c r="B379" s="43" t="s">
        <v>314</v>
      </c>
      <c r="C379" s="44">
        <v>100</v>
      </c>
      <c r="D379" s="44">
        <v>100</v>
      </c>
      <c r="E379" s="44">
        <v>0</v>
      </c>
      <c r="F379" s="140">
        <f>(E379/D379)*100</f>
        <v>0</v>
      </c>
      <c r="G379" s="44">
        <v>100</v>
      </c>
      <c r="H379" s="44">
        <v>0</v>
      </c>
      <c r="I379" s="140">
        <f>(H379/G379)*100</f>
        <v>0</v>
      </c>
    </row>
    <row r="380" spans="1:9" ht="15.75">
      <c r="A380" s="39"/>
      <c r="B380" s="42" t="s">
        <v>313</v>
      </c>
      <c r="C380" s="29">
        <v>10000</v>
      </c>
      <c r="D380" s="29">
        <v>10000</v>
      </c>
      <c r="E380" s="29">
        <v>10000</v>
      </c>
      <c r="F380" s="140">
        <f>(E380/D380)*100</f>
        <v>100</v>
      </c>
      <c r="G380" s="29">
        <v>10000</v>
      </c>
      <c r="H380" s="29">
        <v>10000</v>
      </c>
      <c r="I380" s="138">
        <f>(H380/G380)*100</f>
        <v>100</v>
      </c>
    </row>
    <row r="381" spans="1:9" ht="12" customHeight="1">
      <c r="A381" s="31"/>
      <c r="B381" s="31"/>
      <c r="C381" s="33"/>
      <c r="D381" s="33"/>
      <c r="E381" s="33"/>
      <c r="F381" s="33"/>
      <c r="G381" s="33"/>
      <c r="H381" s="33"/>
      <c r="I381" s="33"/>
    </row>
    <row r="382" spans="1:9" ht="16.5" thickBot="1">
      <c r="A382" s="34">
        <v>852</v>
      </c>
      <c r="B382" s="99" t="s">
        <v>53</v>
      </c>
      <c r="C382" s="36">
        <f>SUM(C384,C391,C395,C398,C411,C421,C428,C432,C436,C444,C450,C455)</f>
        <v>15777462</v>
      </c>
      <c r="D382" s="36">
        <f>SUM(D384,D391,D395,D398,D411,D421,D428,D432,D436,D444,D450,D455)</f>
        <v>17202919.61</v>
      </c>
      <c r="E382" s="36">
        <f>SUM(E384,E391,E395,E398,E411,E421,E428,E432,E436,E444,E450,E455)</f>
        <v>12915413.44</v>
      </c>
      <c r="F382" s="19">
        <f>(E382/D382)*100</f>
        <v>75.07686911756718</v>
      </c>
      <c r="G382" s="36">
        <f>SUM(G384,G391,G395,G398,G411,G421,G428,G432,G436,G444,G450,G455)</f>
        <v>17300236.75</v>
      </c>
      <c r="H382" s="36">
        <f>SUM(H384,H391,H395,H398,H411,H421,H428,H432,H436,H444,H450,H455)</f>
        <v>16982541</v>
      </c>
      <c r="I382" s="19">
        <f>(H382/G382)*100</f>
        <v>98.1636335121252</v>
      </c>
    </row>
    <row r="383" spans="1:9" ht="12" customHeight="1" thickTop="1">
      <c r="A383" s="14"/>
      <c r="B383" s="46"/>
      <c r="C383" s="37"/>
      <c r="D383" s="37"/>
      <c r="E383" s="37"/>
      <c r="F383" s="37"/>
      <c r="G383" s="37"/>
      <c r="H383" s="37"/>
      <c r="I383" s="37"/>
    </row>
    <row r="384" spans="1:9" ht="15.75">
      <c r="A384" s="38">
        <v>85202</v>
      </c>
      <c r="B384" s="92" t="s">
        <v>54</v>
      </c>
      <c r="C384" s="25">
        <f>SUM(C386)</f>
        <v>472812</v>
      </c>
      <c r="D384" s="25">
        <f>SUM(D386)</f>
        <v>472812</v>
      </c>
      <c r="E384" s="25">
        <f>SUM(E386)</f>
        <v>337698.82</v>
      </c>
      <c r="F384" s="137">
        <f>(E384/D384)*100</f>
        <v>71.4234875595374</v>
      </c>
      <c r="G384" s="25">
        <f>SUM(G386)</f>
        <v>467668.91</v>
      </c>
      <c r="H384" s="25">
        <f>SUM(H386)</f>
        <v>472978</v>
      </c>
      <c r="I384" s="137">
        <f>(H384/G384)*100</f>
        <v>101.13522406268144</v>
      </c>
    </row>
    <row r="385" spans="1:9" ht="12.75" customHeight="1">
      <c r="A385" s="14"/>
      <c r="B385" s="46"/>
      <c r="C385" s="26"/>
      <c r="D385" s="26"/>
      <c r="E385" s="26"/>
      <c r="F385" s="26"/>
      <c r="G385" s="26"/>
      <c r="H385" s="26"/>
      <c r="I385" s="26"/>
    </row>
    <row r="386" spans="1:9" ht="15.75">
      <c r="A386" s="14"/>
      <c r="B386" s="56" t="s">
        <v>3</v>
      </c>
      <c r="C386" s="44">
        <f>SUM(C388,C389)</f>
        <v>472812</v>
      </c>
      <c r="D386" s="44">
        <f>SUM(D388,D389)</f>
        <v>472812</v>
      </c>
      <c r="E386" s="44">
        <f>SUM(E388,E389)</f>
        <v>337698.82</v>
      </c>
      <c r="F386" s="140">
        <f>(E386/D386)*100</f>
        <v>71.4234875595374</v>
      </c>
      <c r="G386" s="44">
        <f>SUM(G388,G389)</f>
        <v>467668.91</v>
      </c>
      <c r="H386" s="44">
        <f>SUM(H388,H389)</f>
        <v>472978</v>
      </c>
      <c r="I386" s="140">
        <f>(H386/G386)*100</f>
        <v>101.13522406268144</v>
      </c>
    </row>
    <row r="387" spans="1:9" ht="15.75">
      <c r="A387" s="14"/>
      <c r="B387" s="56" t="s">
        <v>2</v>
      </c>
      <c r="C387" s="44"/>
      <c r="D387" s="44"/>
      <c r="E387" s="44"/>
      <c r="F387" s="44"/>
      <c r="G387" s="44"/>
      <c r="H387" s="44"/>
      <c r="I387" s="44"/>
    </row>
    <row r="388" spans="1:9" ht="15.75">
      <c r="A388" s="14"/>
      <c r="B388" s="56" t="s">
        <v>75</v>
      </c>
      <c r="C388" s="44">
        <f>342899-27000</f>
        <v>315899</v>
      </c>
      <c r="D388" s="44">
        <f>342899-27000</f>
        <v>315899</v>
      </c>
      <c r="E388" s="44">
        <v>241524.19</v>
      </c>
      <c r="F388" s="140">
        <f>(E388/D388)*100</f>
        <v>76.45614262786523</v>
      </c>
      <c r="G388" s="44">
        <v>312161.91</v>
      </c>
      <c r="H388" s="44">
        <v>315565</v>
      </c>
      <c r="I388" s="140">
        <f>(H388/G388)*100</f>
        <v>101.09016823993677</v>
      </c>
    </row>
    <row r="389" spans="1:9" ht="15.75">
      <c r="A389" s="14"/>
      <c r="B389" s="57" t="s">
        <v>16</v>
      </c>
      <c r="C389" s="29">
        <f>156913</f>
        <v>156913</v>
      </c>
      <c r="D389" s="29">
        <f>156913</f>
        <v>156913</v>
      </c>
      <c r="E389" s="29">
        <v>96174.63</v>
      </c>
      <c r="F389" s="138">
        <f>(E389/D389)*100</f>
        <v>61.29169029972022</v>
      </c>
      <c r="G389" s="29">
        <v>155507</v>
      </c>
      <c r="H389" s="29">
        <v>157413</v>
      </c>
      <c r="I389" s="138">
        <f>(H389/G389)*100</f>
        <v>101.22566829789012</v>
      </c>
    </row>
    <row r="390" spans="1:9" ht="15.75">
      <c r="A390" s="14"/>
      <c r="B390" s="91"/>
      <c r="C390" s="37"/>
      <c r="D390" s="37"/>
      <c r="E390" s="37"/>
      <c r="F390" s="37"/>
      <c r="G390" s="37"/>
      <c r="H390" s="37"/>
      <c r="I390" s="37"/>
    </row>
    <row r="391" spans="1:9" ht="15.75">
      <c r="A391" s="38">
        <v>85204</v>
      </c>
      <c r="B391" s="100" t="s">
        <v>196</v>
      </c>
      <c r="C391" s="25">
        <f>SUM(C393:C393)</f>
        <v>15000</v>
      </c>
      <c r="D391" s="25">
        <f>SUM(D393:D393)</f>
        <v>65000</v>
      </c>
      <c r="E391" s="25">
        <f>SUM(E393:E393)</f>
        <v>47988.69</v>
      </c>
      <c r="F391" s="137">
        <f>(E391/D391)*100</f>
        <v>73.82875384615384</v>
      </c>
      <c r="G391" s="25">
        <f>SUM(G393:G393)</f>
        <v>65000</v>
      </c>
      <c r="H391" s="25">
        <f>SUM(H393:H393)</f>
        <v>70000</v>
      </c>
      <c r="I391" s="137">
        <f>(H391/G391)*100</f>
        <v>107.6923076923077</v>
      </c>
    </row>
    <row r="392" spans="1:9" ht="12.75" customHeight="1">
      <c r="A392" s="14"/>
      <c r="B392" s="91"/>
      <c r="C392" s="26"/>
      <c r="D392" s="26"/>
      <c r="E392" s="26"/>
      <c r="F392" s="26"/>
      <c r="G392" s="26"/>
      <c r="H392" s="26"/>
      <c r="I392" s="26"/>
    </row>
    <row r="393" spans="1:9" ht="15.75">
      <c r="A393" s="14"/>
      <c r="B393" s="42" t="s">
        <v>197</v>
      </c>
      <c r="C393" s="29">
        <v>15000</v>
      </c>
      <c r="D393" s="29">
        <v>65000</v>
      </c>
      <c r="E393" s="29">
        <v>47988.69</v>
      </c>
      <c r="F393" s="138">
        <f>(E393/D393)*100</f>
        <v>73.82875384615384</v>
      </c>
      <c r="G393" s="29">
        <v>65000</v>
      </c>
      <c r="H393" s="29">
        <f>80000-10000</f>
        <v>70000</v>
      </c>
      <c r="I393" s="138">
        <f>(H393/G393)*100</f>
        <v>107.6923076923077</v>
      </c>
    </row>
    <row r="394" spans="1:9" ht="12" customHeight="1">
      <c r="A394" s="14"/>
      <c r="B394" s="85"/>
      <c r="C394" s="44"/>
      <c r="D394" s="44"/>
      <c r="E394" s="44"/>
      <c r="F394" s="44"/>
      <c r="G394" s="44"/>
      <c r="H394" s="44"/>
      <c r="I394" s="44"/>
    </row>
    <row r="395" spans="1:9" ht="31.5">
      <c r="A395" s="38">
        <v>85205</v>
      </c>
      <c r="B395" s="100" t="s">
        <v>112</v>
      </c>
      <c r="C395" s="25">
        <f>SUM(C397:C397)</f>
        <v>15000</v>
      </c>
      <c r="D395" s="25">
        <f>SUM(D397:D397)</f>
        <v>15000</v>
      </c>
      <c r="E395" s="25">
        <f>SUM(E397:E397)</f>
        <v>9100.98</v>
      </c>
      <c r="F395" s="137">
        <f>(E395/D395)*100</f>
        <v>60.673199999999994</v>
      </c>
      <c r="G395" s="25">
        <f>SUM(G397:G397)</f>
        <v>15000</v>
      </c>
      <c r="H395" s="25">
        <f>SUM(H397:H397)</f>
        <v>15000</v>
      </c>
      <c r="I395" s="137">
        <f>(H395/G395)*100</f>
        <v>100</v>
      </c>
    </row>
    <row r="396" spans="1:9" ht="9" customHeight="1">
      <c r="A396" s="14"/>
      <c r="B396" s="91"/>
      <c r="C396" s="26"/>
      <c r="D396" s="26"/>
      <c r="E396" s="26"/>
      <c r="F396" s="26"/>
      <c r="G396" s="26"/>
      <c r="H396" s="26"/>
      <c r="I396" s="26"/>
    </row>
    <row r="397" spans="1:9" ht="32.25" customHeight="1">
      <c r="A397" s="39"/>
      <c r="B397" s="42" t="s">
        <v>177</v>
      </c>
      <c r="C397" s="29">
        <v>15000</v>
      </c>
      <c r="D397" s="29">
        <v>15000</v>
      </c>
      <c r="E397" s="29">
        <v>9100.98</v>
      </c>
      <c r="F397" s="138">
        <f>(E397/D397)*100</f>
        <v>60.673199999999994</v>
      </c>
      <c r="G397" s="29">
        <v>15000</v>
      </c>
      <c r="H397" s="29">
        <v>15000</v>
      </c>
      <c r="I397" s="138">
        <f>(H397/G397)*100</f>
        <v>100</v>
      </c>
    </row>
    <row r="398" spans="1:9" ht="63">
      <c r="A398" s="38">
        <v>85212</v>
      </c>
      <c r="B398" s="68" t="s">
        <v>100</v>
      </c>
      <c r="C398" s="25">
        <f>SUM(C400,C405)</f>
        <v>7824000</v>
      </c>
      <c r="D398" s="25">
        <f>SUM(D400,D405)</f>
        <v>8253000</v>
      </c>
      <c r="E398" s="25">
        <f>SUM(E400,E405)</f>
        <v>6447046.699999999</v>
      </c>
      <c r="F398" s="137">
        <f>(E398/D398)*100</f>
        <v>78.11761420089664</v>
      </c>
      <c r="G398" s="25">
        <f>SUM(G400,G405)</f>
        <v>8252999.59</v>
      </c>
      <c r="H398" s="25">
        <f>SUM(H400,H405)</f>
        <v>7748500</v>
      </c>
      <c r="I398" s="137">
        <f>(H398/G398)*100</f>
        <v>93.8870760321945</v>
      </c>
    </row>
    <row r="399" spans="1:9" ht="9" customHeight="1">
      <c r="A399" s="14"/>
      <c r="B399" s="91"/>
      <c r="C399" s="37"/>
      <c r="D399" s="37"/>
      <c r="E399" s="37"/>
      <c r="F399" s="37"/>
      <c r="G399" s="37"/>
      <c r="H399" s="37"/>
      <c r="I399" s="37"/>
    </row>
    <row r="400" spans="1:9" ht="15.75">
      <c r="A400" s="14"/>
      <c r="B400" s="93" t="s">
        <v>5</v>
      </c>
      <c r="C400" s="44">
        <f>SUM(C402:C402)</f>
        <v>50000</v>
      </c>
      <c r="D400" s="44">
        <f>SUM(D402:D403)</f>
        <v>50000</v>
      </c>
      <c r="E400" s="44">
        <f>SUM(E402:E403)</f>
        <v>33068.59</v>
      </c>
      <c r="F400" s="140">
        <f>(E400/D400)*100</f>
        <v>66.13718</v>
      </c>
      <c r="G400" s="44">
        <f>SUM(G402:G403)</f>
        <v>50000</v>
      </c>
      <c r="H400" s="44">
        <f>SUM(H402:H403)</f>
        <v>78500</v>
      </c>
      <c r="I400" s="140">
        <f>(H400/G400)*100</f>
        <v>157</v>
      </c>
    </row>
    <row r="401" spans="1:9" ht="15.75">
      <c r="A401" s="14"/>
      <c r="B401" s="53" t="s">
        <v>2</v>
      </c>
      <c r="C401" s="75"/>
      <c r="D401" s="75"/>
      <c r="E401" s="75"/>
      <c r="F401" s="75"/>
      <c r="G401" s="75"/>
      <c r="H401" s="75"/>
      <c r="I401" s="75"/>
    </row>
    <row r="402" spans="1:9" ht="15.75">
      <c r="A402" s="14"/>
      <c r="B402" s="53" t="s">
        <v>14</v>
      </c>
      <c r="C402" s="44">
        <v>50000</v>
      </c>
      <c r="D402" s="44">
        <v>50000</v>
      </c>
      <c r="E402" s="44">
        <v>33068.59</v>
      </c>
      <c r="F402" s="140">
        <f>(E402/D402)*100</f>
        <v>66.13718</v>
      </c>
      <c r="G402" s="44">
        <v>50000</v>
      </c>
      <c r="H402" s="44">
        <v>50000</v>
      </c>
      <c r="I402" s="140">
        <f>(H402/G402)*100</f>
        <v>100</v>
      </c>
    </row>
    <row r="403" spans="1:9" ht="15.75">
      <c r="A403" s="14"/>
      <c r="B403" s="53" t="s">
        <v>11</v>
      </c>
      <c r="C403" s="44"/>
      <c r="D403" s="44">
        <v>0</v>
      </c>
      <c r="E403" s="44">
        <v>0</v>
      </c>
      <c r="F403" s="140">
        <v>0</v>
      </c>
      <c r="G403" s="44">
        <v>0</v>
      </c>
      <c r="H403" s="44">
        <v>28500</v>
      </c>
      <c r="I403" s="140">
        <v>0</v>
      </c>
    </row>
    <row r="404" spans="1:9" ht="12" customHeight="1">
      <c r="A404" s="14"/>
      <c r="B404" s="53"/>
      <c r="C404" s="75"/>
      <c r="D404" s="75"/>
      <c r="E404" s="75"/>
      <c r="F404" s="75"/>
      <c r="G404" s="75"/>
      <c r="H404" s="75"/>
      <c r="I404" s="75"/>
    </row>
    <row r="405" spans="1:9" ht="15.75">
      <c r="A405" s="14"/>
      <c r="B405" s="93" t="s">
        <v>89</v>
      </c>
      <c r="C405" s="44">
        <f>SUM(C407:C410)</f>
        <v>7774000</v>
      </c>
      <c r="D405" s="44">
        <f>SUM(D407:D410)</f>
        <v>8203000</v>
      </c>
      <c r="E405" s="44">
        <f>SUM(E407:E410)</f>
        <v>6413978.109999999</v>
      </c>
      <c r="F405" s="140">
        <f>(E405/D405)*100</f>
        <v>78.19063891259295</v>
      </c>
      <c r="G405" s="44">
        <f>SUM(G407:G410)</f>
        <v>8202999.59</v>
      </c>
      <c r="H405" s="44">
        <f>SUM(H407:H410)</f>
        <v>7670000</v>
      </c>
      <c r="I405" s="140">
        <f>(H405/G405)*100</f>
        <v>93.50238185249013</v>
      </c>
    </row>
    <row r="406" spans="1:9" ht="15.75">
      <c r="A406" s="14"/>
      <c r="B406" s="53" t="s">
        <v>2</v>
      </c>
      <c r="C406" s="44"/>
      <c r="D406" s="44"/>
      <c r="E406" s="44"/>
      <c r="F406" s="44"/>
      <c r="G406" s="44"/>
      <c r="H406" s="44"/>
      <c r="I406" s="44"/>
    </row>
    <row r="407" spans="1:9" ht="15.75">
      <c r="A407" s="14"/>
      <c r="B407" s="53" t="s">
        <v>74</v>
      </c>
      <c r="C407" s="44">
        <f>181220+25000</f>
        <v>206220</v>
      </c>
      <c r="D407" s="44">
        <f>181750+25000</f>
        <v>206750</v>
      </c>
      <c r="E407" s="44">
        <f>139181.15+23049.69</f>
        <v>162230.84</v>
      </c>
      <c r="F407" s="140">
        <f>(E407/D407)*100</f>
        <v>78.46715356711003</v>
      </c>
      <c r="G407" s="44">
        <v>206750</v>
      </c>
      <c r="H407" s="44">
        <v>230100</v>
      </c>
      <c r="I407" s="140">
        <f>(H407/G407)*100</f>
        <v>111.2938331318017</v>
      </c>
    </row>
    <row r="408" spans="1:9" ht="15.75">
      <c r="A408" s="14"/>
      <c r="B408" s="53" t="s">
        <v>14</v>
      </c>
      <c r="C408" s="44">
        <f>7383183+157597</f>
        <v>7540780</v>
      </c>
      <c r="D408" s="44">
        <f>7626244+330597</f>
        <v>7956841</v>
      </c>
      <c r="E408" s="44">
        <f>5940088.72+245319.61+40794.18</f>
        <v>6226202.51</v>
      </c>
      <c r="F408" s="140">
        <f>(E408/D408)*100</f>
        <v>78.24967860989052</v>
      </c>
      <c r="G408" s="44">
        <v>7956841</v>
      </c>
      <c r="H408" s="44">
        <v>7439900</v>
      </c>
      <c r="I408" s="140">
        <f>(H408/G408)*100</f>
        <v>93.50318801142312</v>
      </c>
    </row>
    <row r="409" spans="1:9" ht="15.75">
      <c r="A409" s="14"/>
      <c r="B409" s="53" t="s">
        <v>11</v>
      </c>
      <c r="C409" s="44">
        <v>27000</v>
      </c>
      <c r="D409" s="44">
        <v>39340</v>
      </c>
      <c r="E409" s="44">
        <v>25476.17</v>
      </c>
      <c r="F409" s="140">
        <f>(E409/D409)*100</f>
        <v>64.75894763599389</v>
      </c>
      <c r="G409" s="44">
        <v>39340</v>
      </c>
      <c r="H409" s="44">
        <v>0</v>
      </c>
      <c r="I409" s="140">
        <f>(H409/G409)*100</f>
        <v>0</v>
      </c>
    </row>
    <row r="410" spans="1:9" ht="15.75">
      <c r="A410" s="39"/>
      <c r="B410" s="42" t="s">
        <v>218</v>
      </c>
      <c r="C410" s="29">
        <v>0</v>
      </c>
      <c r="D410" s="29">
        <v>69</v>
      </c>
      <c r="E410" s="29">
        <v>68.59</v>
      </c>
      <c r="F410" s="138">
        <f>(E410/D410)*100</f>
        <v>99.40579710144928</v>
      </c>
      <c r="G410" s="29">
        <v>68.59</v>
      </c>
      <c r="H410" s="29">
        <v>0</v>
      </c>
      <c r="I410" s="138">
        <f>(H410/G410)*100</f>
        <v>0</v>
      </c>
    </row>
    <row r="411" spans="1:9" ht="94.5">
      <c r="A411" s="38">
        <v>85213</v>
      </c>
      <c r="B411" s="68" t="s">
        <v>113</v>
      </c>
      <c r="C411" s="25">
        <f>SUM(C413,C414)</f>
        <v>86000</v>
      </c>
      <c r="D411" s="25">
        <f>SUM(D413,D414)</f>
        <v>106673</v>
      </c>
      <c r="E411" s="25">
        <f>SUM(E413,E414)</f>
        <v>92291.3</v>
      </c>
      <c r="F411" s="137">
        <f>(E411/D411)*100</f>
        <v>86.51795674631819</v>
      </c>
      <c r="G411" s="25">
        <f>SUM(G413,G414)</f>
        <v>121673</v>
      </c>
      <c r="H411" s="25">
        <f>SUM(H413,H414)</f>
        <v>118000</v>
      </c>
      <c r="I411" s="137">
        <f>(H411/G411)*100</f>
        <v>96.98125303066416</v>
      </c>
    </row>
    <row r="412" spans="1:9" ht="9.75" customHeight="1">
      <c r="A412" s="14"/>
      <c r="B412" s="58"/>
      <c r="C412" s="26"/>
      <c r="D412" s="26"/>
      <c r="E412" s="26"/>
      <c r="F412" s="26"/>
      <c r="G412" s="26"/>
      <c r="H412" s="26"/>
      <c r="I412" s="26"/>
    </row>
    <row r="413" spans="1:9" ht="15.75">
      <c r="A413" s="14"/>
      <c r="B413" s="43" t="s">
        <v>5</v>
      </c>
      <c r="C413" s="44">
        <v>54000</v>
      </c>
      <c r="D413" s="44">
        <v>57000</v>
      </c>
      <c r="E413" s="44">
        <v>51008.3</v>
      </c>
      <c r="F413" s="140">
        <f>(E413/D413)*100</f>
        <v>89.4882456140351</v>
      </c>
      <c r="G413" s="44">
        <v>72000</v>
      </c>
      <c r="H413" s="44">
        <v>72000</v>
      </c>
      <c r="I413" s="140">
        <f>(H413/G413)*100</f>
        <v>100</v>
      </c>
    </row>
    <row r="414" spans="1:9" ht="15.75">
      <c r="A414" s="39"/>
      <c r="B414" s="42" t="s">
        <v>6</v>
      </c>
      <c r="C414" s="29">
        <v>32000</v>
      </c>
      <c r="D414" s="29">
        <v>49673</v>
      </c>
      <c r="E414" s="29">
        <v>41283</v>
      </c>
      <c r="F414" s="138">
        <f>(E414/D414)*100</f>
        <v>83.10953636784572</v>
      </c>
      <c r="G414" s="29">
        <v>49673</v>
      </c>
      <c r="H414" s="29">
        <v>46000</v>
      </c>
      <c r="I414" s="138">
        <f>(H414/G414)*100</f>
        <v>92.60564089142996</v>
      </c>
    </row>
    <row r="415" spans="1:9" ht="16.5" thickBot="1">
      <c r="A415" s="149"/>
      <c r="B415" s="152"/>
      <c r="C415" s="150"/>
      <c r="D415" s="150"/>
      <c r="E415" s="150"/>
      <c r="F415" s="151"/>
      <c r="G415" s="150"/>
      <c r="H415" s="150"/>
      <c r="I415" s="151"/>
    </row>
    <row r="416" spans="1:9" ht="15.75">
      <c r="A416" s="2"/>
      <c r="B416" s="3"/>
      <c r="C416" s="4"/>
      <c r="D416" s="4"/>
      <c r="E416" s="4"/>
      <c r="F416" s="4"/>
      <c r="G416" s="4"/>
      <c r="H416" s="4"/>
      <c r="I416" s="4"/>
    </row>
    <row r="417" spans="1:9" ht="15.75">
      <c r="A417" s="5" t="s">
        <v>19</v>
      </c>
      <c r="B417" s="6" t="s">
        <v>0</v>
      </c>
      <c r="C417" s="7" t="s">
        <v>205</v>
      </c>
      <c r="D417" s="7" t="s">
        <v>205</v>
      </c>
      <c r="E417" s="7" t="s">
        <v>207</v>
      </c>
      <c r="F417" s="7" t="s">
        <v>208</v>
      </c>
      <c r="G417" s="7" t="s">
        <v>227</v>
      </c>
      <c r="H417" s="7" t="s">
        <v>228</v>
      </c>
      <c r="I417" s="7" t="s">
        <v>208</v>
      </c>
    </row>
    <row r="418" spans="1:9" ht="15.75">
      <c r="A418" s="5" t="s">
        <v>21</v>
      </c>
      <c r="B418" s="8"/>
      <c r="C418" s="7" t="s">
        <v>206</v>
      </c>
      <c r="D418" s="7" t="s">
        <v>226</v>
      </c>
      <c r="E418" s="7" t="s">
        <v>226</v>
      </c>
      <c r="F418" s="7" t="s">
        <v>209</v>
      </c>
      <c r="G418" s="7" t="s">
        <v>229</v>
      </c>
      <c r="H418" s="7" t="s">
        <v>231</v>
      </c>
      <c r="I418" s="7" t="s">
        <v>209</v>
      </c>
    </row>
    <row r="419" spans="1:9" ht="16.5" thickBot="1">
      <c r="A419" s="9"/>
      <c r="B419" s="10"/>
      <c r="C419" s="11" t="s">
        <v>186</v>
      </c>
      <c r="D419" s="11" t="s">
        <v>186</v>
      </c>
      <c r="E419" s="11" t="s">
        <v>186</v>
      </c>
      <c r="F419" s="11"/>
      <c r="G419" s="11" t="s">
        <v>230</v>
      </c>
      <c r="H419" s="11" t="s">
        <v>232</v>
      </c>
      <c r="I419" s="11"/>
    </row>
    <row r="420" spans="1:9" ht="15.75">
      <c r="A420" s="31"/>
      <c r="B420" s="31"/>
      <c r="C420" s="33"/>
      <c r="D420" s="33"/>
      <c r="E420" s="33"/>
      <c r="F420" s="33"/>
      <c r="G420" s="33"/>
      <c r="H420" s="33"/>
      <c r="I420" s="33"/>
    </row>
    <row r="421" spans="1:9" ht="31.5">
      <c r="A421" s="38">
        <v>85214</v>
      </c>
      <c r="B421" s="68" t="s">
        <v>73</v>
      </c>
      <c r="C421" s="25">
        <f>SUM(C423)</f>
        <v>3030000</v>
      </c>
      <c r="D421" s="25">
        <f>SUM(D423)</f>
        <v>3433286.17</v>
      </c>
      <c r="E421" s="25">
        <f>SUM(E423)</f>
        <v>2312841.18</v>
      </c>
      <c r="F421" s="137">
        <f>(E421/D421)*100</f>
        <v>67.36523160258442</v>
      </c>
      <c r="G421" s="25">
        <f>SUM(G423)</f>
        <v>3433286.17</v>
      </c>
      <c r="H421" s="25">
        <f>SUM(H423)</f>
        <v>3601000</v>
      </c>
      <c r="I421" s="137">
        <f>(H421/G421)*100</f>
        <v>104.88493593879475</v>
      </c>
    </row>
    <row r="422" spans="1:9" ht="9" customHeight="1">
      <c r="A422" s="14"/>
      <c r="B422" s="14"/>
      <c r="C422" s="26"/>
      <c r="D422" s="26"/>
      <c r="E422" s="26"/>
      <c r="F422" s="26"/>
      <c r="G422" s="26"/>
      <c r="H422" s="26"/>
      <c r="I422" s="26"/>
    </row>
    <row r="423" spans="1:9" ht="15.75">
      <c r="A423" s="14"/>
      <c r="B423" s="41" t="s">
        <v>5</v>
      </c>
      <c r="C423" s="44">
        <f>SUM(C425:C426)</f>
        <v>3030000</v>
      </c>
      <c r="D423" s="44">
        <f>SUM(D425:D426)</f>
        <v>3433286.17</v>
      </c>
      <c r="E423" s="44">
        <f>SUM(E425:E426)</f>
        <v>2312841.18</v>
      </c>
      <c r="F423" s="140">
        <f>(E423/D423)*100</f>
        <v>67.36523160258442</v>
      </c>
      <c r="G423" s="44">
        <f>SUM(G425:G426)</f>
        <v>3433286.17</v>
      </c>
      <c r="H423" s="44">
        <f>SUM(H425:H426)</f>
        <v>3601000</v>
      </c>
      <c r="I423" s="140">
        <f>(H423/G423)*100</f>
        <v>104.88493593879475</v>
      </c>
    </row>
    <row r="424" spans="1:9" ht="15.75">
      <c r="A424" s="14"/>
      <c r="B424" s="41" t="s">
        <v>2</v>
      </c>
      <c r="C424" s="44"/>
      <c r="D424" s="44"/>
      <c r="E424" s="44"/>
      <c r="F424" s="44"/>
      <c r="G424" s="44"/>
      <c r="H424" s="44"/>
      <c r="I424" s="44"/>
    </row>
    <row r="425" spans="1:9" ht="15.75">
      <c r="A425" s="14"/>
      <c r="B425" s="41" t="s">
        <v>14</v>
      </c>
      <c r="C425" s="44">
        <v>1770000</v>
      </c>
      <c r="D425" s="44">
        <v>2143286.17</v>
      </c>
      <c r="E425" s="44">
        <v>1449751.29</v>
      </c>
      <c r="F425" s="140">
        <f>(E425/D425)*100</f>
        <v>67.64151751140166</v>
      </c>
      <c r="G425" s="44">
        <v>2143286.17</v>
      </c>
      <c r="H425" s="44">
        <f>2145000+136000</f>
        <v>2281000</v>
      </c>
      <c r="I425" s="140">
        <f>(H425/G425)*100</f>
        <v>106.42535896174799</v>
      </c>
    </row>
    <row r="426" spans="1:9" ht="15.75">
      <c r="A426" s="39"/>
      <c r="B426" s="27" t="s">
        <v>11</v>
      </c>
      <c r="C426" s="29">
        <v>1260000</v>
      </c>
      <c r="D426" s="29">
        <v>1290000</v>
      </c>
      <c r="E426" s="29">
        <v>863089.89</v>
      </c>
      <c r="F426" s="138">
        <f>(E426/D426)*100</f>
        <v>66.90619302325581</v>
      </c>
      <c r="G426" s="29">
        <v>1290000</v>
      </c>
      <c r="H426" s="29">
        <f>1340000-20000</f>
        <v>1320000</v>
      </c>
      <c r="I426" s="138">
        <f>(H426/G426)*100</f>
        <v>102.32558139534885</v>
      </c>
    </row>
    <row r="427" spans="1:9" ht="10.5" customHeight="1">
      <c r="A427" s="31"/>
      <c r="B427" s="88"/>
      <c r="C427" s="40"/>
      <c r="D427" s="40"/>
      <c r="E427" s="40"/>
      <c r="F427" s="40"/>
      <c r="G427" s="40"/>
      <c r="H427" s="40"/>
      <c r="I427" s="40"/>
    </row>
    <row r="428" spans="1:9" ht="15.75">
      <c r="A428" s="38">
        <v>85215</v>
      </c>
      <c r="B428" s="39" t="s">
        <v>55</v>
      </c>
      <c r="C428" s="25">
        <f>SUM(C430)</f>
        <v>1706000</v>
      </c>
      <c r="D428" s="25">
        <f>SUM(D430)</f>
        <v>1706000</v>
      </c>
      <c r="E428" s="25">
        <f>SUM(E430)</f>
        <v>1291518.87</v>
      </c>
      <c r="F428" s="137">
        <f>(E428/D428)*100</f>
        <v>75.70450586166471</v>
      </c>
      <c r="G428" s="25">
        <f>SUM(G430)</f>
        <v>1706000</v>
      </c>
      <c r="H428" s="25">
        <f>SUM(H430)</f>
        <v>1786000</v>
      </c>
      <c r="I428" s="137">
        <f>(H428/G428)*100</f>
        <v>104.68933177022275</v>
      </c>
    </row>
    <row r="429" spans="1:9" ht="8.25" customHeight="1">
      <c r="A429" s="14"/>
      <c r="B429" s="14"/>
      <c r="C429" s="40"/>
      <c r="D429" s="40"/>
      <c r="E429" s="40"/>
      <c r="F429" s="40"/>
      <c r="G429" s="40"/>
      <c r="H429" s="40"/>
      <c r="I429" s="40"/>
    </row>
    <row r="430" spans="1:9" ht="15.75">
      <c r="A430" s="14"/>
      <c r="B430" s="27" t="s">
        <v>7</v>
      </c>
      <c r="C430" s="29">
        <v>1706000</v>
      </c>
      <c r="D430" s="29">
        <v>1706000</v>
      </c>
      <c r="E430" s="29">
        <v>1291518.87</v>
      </c>
      <c r="F430" s="138">
        <f>(E430/D430)*100</f>
        <v>75.70450586166471</v>
      </c>
      <c r="G430" s="29">
        <v>1706000</v>
      </c>
      <c r="H430" s="29">
        <f>1806000-20000</f>
        <v>1786000</v>
      </c>
      <c r="I430" s="138">
        <f>(H430/G430)*100</f>
        <v>104.68933177022275</v>
      </c>
    </row>
    <row r="431" spans="1:9" ht="8.25" customHeight="1">
      <c r="A431" s="14"/>
      <c r="B431" s="14"/>
      <c r="C431" s="26"/>
      <c r="D431" s="26"/>
      <c r="E431" s="26"/>
      <c r="F431" s="26"/>
      <c r="G431" s="26"/>
      <c r="H431" s="26"/>
      <c r="I431" s="26"/>
    </row>
    <row r="432" spans="1:9" ht="15.75">
      <c r="A432" s="38">
        <v>85216</v>
      </c>
      <c r="B432" s="39" t="s">
        <v>108</v>
      </c>
      <c r="C432" s="25">
        <f>SUM(C434)</f>
        <v>650000</v>
      </c>
      <c r="D432" s="25">
        <f>SUM(D434)</f>
        <v>725000</v>
      </c>
      <c r="E432" s="25">
        <f>SUM(E434)</f>
        <v>605211.25</v>
      </c>
      <c r="F432" s="137">
        <f>(E432/D432)*100</f>
        <v>83.47741379310345</v>
      </c>
      <c r="G432" s="25">
        <f>SUM(G434)</f>
        <v>820000</v>
      </c>
      <c r="H432" s="25">
        <f>SUM(H434)</f>
        <v>820000</v>
      </c>
      <c r="I432" s="137">
        <f>(H432/G432)*100</f>
        <v>100</v>
      </c>
    </row>
    <row r="433" spans="1:9" ht="9.75" customHeight="1">
      <c r="A433" s="14"/>
      <c r="B433" s="14"/>
      <c r="C433" s="26"/>
      <c r="D433" s="26"/>
      <c r="E433" s="26"/>
      <c r="F433" s="26"/>
      <c r="G433" s="26"/>
      <c r="H433" s="26"/>
      <c r="I433" s="26"/>
    </row>
    <row r="434" spans="1:9" ht="15.75">
      <c r="A434" s="39"/>
      <c r="B434" s="27" t="s">
        <v>109</v>
      </c>
      <c r="C434" s="29">
        <v>650000</v>
      </c>
      <c r="D434" s="29">
        <v>725000</v>
      </c>
      <c r="E434" s="29">
        <v>605211.25</v>
      </c>
      <c r="F434" s="138">
        <f>(E434/D434)*100</f>
        <v>83.47741379310345</v>
      </c>
      <c r="G434" s="29">
        <v>820000</v>
      </c>
      <c r="H434" s="29">
        <v>820000</v>
      </c>
      <c r="I434" s="138">
        <f>(H434/G434)*100</f>
        <v>100</v>
      </c>
    </row>
    <row r="435" spans="1:9" ht="9.75" customHeight="1">
      <c r="A435" s="14"/>
      <c r="B435" s="14"/>
      <c r="C435" s="37"/>
      <c r="D435" s="37"/>
      <c r="E435" s="37"/>
      <c r="F435" s="37"/>
      <c r="G435" s="37"/>
      <c r="H435" s="37"/>
      <c r="I435" s="37"/>
    </row>
    <row r="436" spans="1:9" ht="15.75">
      <c r="A436" s="38">
        <v>85219</v>
      </c>
      <c r="B436" s="39" t="s">
        <v>56</v>
      </c>
      <c r="C436" s="25">
        <f>SUM(C438,C442)</f>
        <v>1463250</v>
      </c>
      <c r="D436" s="25">
        <f>SUM(D438,D442)</f>
        <v>1463250</v>
      </c>
      <c r="E436" s="25">
        <f>SUM(E438,E442)</f>
        <v>1077759.5</v>
      </c>
      <c r="F436" s="137">
        <f>(E436/D436)*100</f>
        <v>73.65518537502136</v>
      </c>
      <c r="G436" s="25">
        <f>SUM(G438,G442)</f>
        <v>1455710.64</v>
      </c>
      <c r="H436" s="25">
        <f>SUM(H438,H442)</f>
        <v>1481483</v>
      </c>
      <c r="I436" s="137">
        <f>(H436/G436)*100</f>
        <v>101.77043151927504</v>
      </c>
    </row>
    <row r="437" spans="1:9" ht="9" customHeight="1">
      <c r="A437" s="14"/>
      <c r="B437" s="14"/>
      <c r="C437" s="40"/>
      <c r="D437" s="40"/>
      <c r="E437" s="40"/>
      <c r="F437" s="40"/>
      <c r="G437" s="40"/>
      <c r="H437" s="40"/>
      <c r="I437" s="26"/>
    </row>
    <row r="438" spans="1:9" ht="15.75">
      <c r="A438" s="14"/>
      <c r="B438" s="27" t="s">
        <v>18</v>
      </c>
      <c r="C438" s="29">
        <f>SUM(C440:C441)</f>
        <v>1447250</v>
      </c>
      <c r="D438" s="29">
        <f>SUM(D440:D441)</f>
        <v>1447250</v>
      </c>
      <c r="E438" s="29">
        <f>SUM(E440:E441)</f>
        <v>1069659.5</v>
      </c>
      <c r="F438" s="138">
        <f>(E438/D438)*100</f>
        <v>73.90979443772673</v>
      </c>
      <c r="G438" s="29">
        <f>SUM(G440:G441)</f>
        <v>1439710.64</v>
      </c>
      <c r="H438" s="29">
        <f>SUM(H440:H441)</f>
        <v>1468483</v>
      </c>
      <c r="I438" s="138">
        <f>(H438/G438)*100</f>
        <v>101.9984821394388</v>
      </c>
    </row>
    <row r="439" spans="1:9" ht="15.75">
      <c r="A439" s="14"/>
      <c r="B439" s="41" t="s">
        <v>2</v>
      </c>
      <c r="C439" s="75"/>
      <c r="D439" s="75"/>
      <c r="E439" s="75"/>
      <c r="F439" s="75"/>
      <c r="G439" s="75"/>
      <c r="H439" s="75"/>
      <c r="I439" s="75"/>
    </row>
    <row r="440" spans="1:9" ht="15.75">
      <c r="A440" s="14"/>
      <c r="B440" s="27" t="s">
        <v>75</v>
      </c>
      <c r="C440" s="29">
        <f>1290590-9000</f>
        <v>1281590</v>
      </c>
      <c r="D440" s="29">
        <f>1290590-9000</f>
        <v>1281590</v>
      </c>
      <c r="E440" s="29">
        <v>953957.89</v>
      </c>
      <c r="F440" s="138">
        <f>(E440/D440)*100</f>
        <v>74.43549731193283</v>
      </c>
      <c r="G440" s="29">
        <v>1274050.64</v>
      </c>
      <c r="H440" s="29">
        <v>1297783</v>
      </c>
      <c r="I440" s="138">
        <f>(H440/G440)*100</f>
        <v>101.86274856390325</v>
      </c>
    </row>
    <row r="441" spans="1:9" ht="15.75">
      <c r="A441" s="14"/>
      <c r="B441" s="27" t="s">
        <v>16</v>
      </c>
      <c r="C441" s="29">
        <v>165660</v>
      </c>
      <c r="D441" s="29">
        <v>165660</v>
      </c>
      <c r="E441" s="29">
        <v>115701.61</v>
      </c>
      <c r="F441" s="138">
        <f>(E441/D441)*100</f>
        <v>69.84281661233852</v>
      </c>
      <c r="G441" s="29">
        <v>165660</v>
      </c>
      <c r="H441" s="29">
        <v>170700</v>
      </c>
      <c r="I441" s="138">
        <f>(H441/G441)*100</f>
        <v>103.04237595074248</v>
      </c>
    </row>
    <row r="442" spans="1:9" ht="30.75">
      <c r="A442" s="14"/>
      <c r="B442" s="42" t="s">
        <v>198</v>
      </c>
      <c r="C442" s="29">
        <v>16000</v>
      </c>
      <c r="D442" s="29">
        <v>16000</v>
      </c>
      <c r="E442" s="29">
        <v>8100</v>
      </c>
      <c r="F442" s="138">
        <f>(E442/D442)*100</f>
        <v>50.625</v>
      </c>
      <c r="G442" s="29">
        <v>16000</v>
      </c>
      <c r="H442" s="29">
        <v>13000</v>
      </c>
      <c r="I442" s="138">
        <f>(H442/G442)*100</f>
        <v>81.25</v>
      </c>
    </row>
    <row r="443" spans="1:9" ht="10.5" customHeight="1">
      <c r="A443" s="14"/>
      <c r="B443" s="31"/>
      <c r="C443" s="33"/>
      <c r="D443" s="33"/>
      <c r="E443" s="33"/>
      <c r="F443" s="33"/>
      <c r="G443" s="33"/>
      <c r="H443" s="33"/>
      <c r="I443" s="33"/>
    </row>
    <row r="444" spans="1:9" ht="30" customHeight="1">
      <c r="A444" s="38">
        <v>85220</v>
      </c>
      <c r="B444" s="83" t="s">
        <v>115</v>
      </c>
      <c r="C444" s="25">
        <f>SUM(C446)</f>
        <v>70400</v>
      </c>
      <c r="D444" s="25">
        <f>SUM(D446)</f>
        <v>74685</v>
      </c>
      <c r="E444" s="25">
        <f>SUM(E446)</f>
        <v>48282.21</v>
      </c>
      <c r="F444" s="137">
        <f>(E444/D444)*100</f>
        <v>64.64780076320547</v>
      </c>
      <c r="G444" s="25">
        <f>SUM(G446)</f>
        <v>74685</v>
      </c>
      <c r="H444" s="25">
        <f>SUM(H446)</f>
        <v>70400</v>
      </c>
      <c r="I444" s="137">
        <f>(H444/G444)*100</f>
        <v>94.26256945839191</v>
      </c>
    </row>
    <row r="445" spans="1:9" ht="9" customHeight="1">
      <c r="A445" s="73"/>
      <c r="B445" s="54"/>
      <c r="C445" s="26"/>
      <c r="D445" s="26"/>
      <c r="E445" s="26"/>
      <c r="F445" s="26"/>
      <c r="G445" s="26"/>
      <c r="H445" s="26"/>
      <c r="I445" s="26"/>
    </row>
    <row r="446" spans="1:9" ht="15.75" customHeight="1">
      <c r="A446" s="73"/>
      <c r="B446" s="43" t="s">
        <v>156</v>
      </c>
      <c r="C446" s="44">
        <v>70400</v>
      </c>
      <c r="D446" s="44">
        <v>74685</v>
      </c>
      <c r="E446" s="44">
        <v>48282.21</v>
      </c>
      <c r="F446" s="140">
        <f>(E446/D446)*100</f>
        <v>64.64780076320547</v>
      </c>
      <c r="G446" s="44">
        <v>74685</v>
      </c>
      <c r="H446" s="44">
        <v>70400</v>
      </c>
      <c r="I446" s="140">
        <f>(H446/G446)*100</f>
        <v>94.26256945839191</v>
      </c>
    </row>
    <row r="447" spans="1:9" ht="15.75">
      <c r="A447" s="73"/>
      <c r="B447" s="43" t="s">
        <v>2</v>
      </c>
      <c r="C447" s="44"/>
      <c r="D447" s="44"/>
      <c r="E447" s="44"/>
      <c r="F447" s="44"/>
      <c r="G447" s="44"/>
      <c r="H447" s="44"/>
      <c r="I447" s="44"/>
    </row>
    <row r="448" spans="1:9" ht="14.25" customHeight="1">
      <c r="A448" s="73"/>
      <c r="B448" s="42" t="s">
        <v>82</v>
      </c>
      <c r="C448" s="29">
        <v>41640</v>
      </c>
      <c r="D448" s="29">
        <v>45925</v>
      </c>
      <c r="E448" s="29">
        <v>29370</v>
      </c>
      <c r="F448" s="138">
        <f>(E448/D448)*100</f>
        <v>63.952095808383234</v>
      </c>
      <c r="G448" s="29">
        <v>45925</v>
      </c>
      <c r="H448" s="29">
        <v>41640</v>
      </c>
      <c r="I448" s="138">
        <f>(H448/G448)*100</f>
        <v>90.66956995100708</v>
      </c>
    </row>
    <row r="449" spans="1:9" ht="9.75" customHeight="1">
      <c r="A449" s="14"/>
      <c r="B449" s="14"/>
      <c r="C449" s="37"/>
      <c r="D449" s="37"/>
      <c r="E449" s="37"/>
      <c r="F449" s="37"/>
      <c r="G449" s="37"/>
      <c r="H449" s="37"/>
      <c r="I449" s="37"/>
    </row>
    <row r="450" spans="1:9" ht="31.5">
      <c r="A450" s="38">
        <v>85228</v>
      </c>
      <c r="B450" s="68" t="s">
        <v>116</v>
      </c>
      <c r="C450" s="25">
        <f>SUM(C452,C453)</f>
        <v>137000</v>
      </c>
      <c r="D450" s="25">
        <f>SUM(D452,D453)</f>
        <v>159000</v>
      </c>
      <c r="E450" s="25">
        <f>SUM(E452,E453)</f>
        <v>95032.81999999999</v>
      </c>
      <c r="F450" s="137">
        <f>(E450/D450)*100</f>
        <v>59.769069182389934</v>
      </c>
      <c r="G450" s="25">
        <f>SUM(G452,G453)</f>
        <v>159000</v>
      </c>
      <c r="H450" s="25">
        <f>SUM(H452,H453)</f>
        <v>158000</v>
      </c>
      <c r="I450" s="137">
        <f>(H450/G450)*100</f>
        <v>99.37106918238993</v>
      </c>
    </row>
    <row r="451" spans="1:9" ht="9.75" customHeight="1">
      <c r="A451" s="14"/>
      <c r="B451" s="14"/>
      <c r="C451" s="26"/>
      <c r="D451" s="26"/>
      <c r="E451" s="26"/>
      <c r="F451" s="26"/>
      <c r="G451" s="26"/>
      <c r="H451" s="26"/>
      <c r="I451" s="26"/>
    </row>
    <row r="452" spans="1:9" ht="13.5" customHeight="1">
      <c r="A452" s="14"/>
      <c r="B452" s="27" t="s">
        <v>5</v>
      </c>
      <c r="C452" s="29">
        <v>120000</v>
      </c>
      <c r="D452" s="29">
        <v>140000</v>
      </c>
      <c r="E452" s="29">
        <v>87423.92</v>
      </c>
      <c r="F452" s="138">
        <f>(E452/D452)*100</f>
        <v>62.44565714285714</v>
      </c>
      <c r="G452" s="29">
        <v>140000</v>
      </c>
      <c r="H452" s="29">
        <v>140000</v>
      </c>
      <c r="I452" s="138">
        <f>(H452/G452)*100</f>
        <v>100</v>
      </c>
    </row>
    <row r="453" spans="1:9" ht="14.25" customHeight="1">
      <c r="A453" s="39"/>
      <c r="B453" s="27" t="s">
        <v>6</v>
      </c>
      <c r="C453" s="29">
        <v>17000</v>
      </c>
      <c r="D453" s="29">
        <v>19000</v>
      </c>
      <c r="E453" s="29">
        <v>7608.9</v>
      </c>
      <c r="F453" s="138">
        <f>(E453/D453)*100</f>
        <v>40.04684210526316</v>
      </c>
      <c r="G453" s="29">
        <v>19000</v>
      </c>
      <c r="H453" s="29">
        <v>18000</v>
      </c>
      <c r="I453" s="138">
        <f>(H453/G453)*100</f>
        <v>94.73684210526315</v>
      </c>
    </row>
    <row r="454" spans="1:9" ht="14.25" customHeight="1">
      <c r="A454" s="14"/>
      <c r="B454" s="41"/>
      <c r="C454" s="44"/>
      <c r="D454" s="44"/>
      <c r="E454" s="44"/>
      <c r="F454" s="44"/>
      <c r="G454" s="44"/>
      <c r="H454" s="44"/>
      <c r="I454" s="44"/>
    </row>
    <row r="455" spans="1:9" ht="15.75">
      <c r="A455" s="39">
        <v>85295</v>
      </c>
      <c r="B455" s="83" t="s">
        <v>23</v>
      </c>
      <c r="C455" s="125">
        <f>SUM(C457:C458,C461)</f>
        <v>308000</v>
      </c>
      <c r="D455" s="125">
        <f>SUM(D457:D458,D461)</f>
        <v>729213.44</v>
      </c>
      <c r="E455" s="125">
        <f>SUM(E457:E458,E461)</f>
        <v>550641.12</v>
      </c>
      <c r="F455" s="137">
        <f>(E455/D455)*100</f>
        <v>75.51165266509625</v>
      </c>
      <c r="G455" s="125">
        <f>SUM(G457:G458,G461)</f>
        <v>729213.44</v>
      </c>
      <c r="H455" s="125">
        <f>SUM(H457:H458,H461)</f>
        <v>641180</v>
      </c>
      <c r="I455" s="137">
        <f>(H455/G455)*100</f>
        <v>87.92761691282048</v>
      </c>
    </row>
    <row r="456" spans="1:9" ht="8.25" customHeight="1">
      <c r="A456" s="14"/>
      <c r="B456" s="43"/>
      <c r="C456" s="44"/>
      <c r="D456" s="44"/>
      <c r="E456" s="44"/>
      <c r="F456" s="44"/>
      <c r="G456" s="44"/>
      <c r="H456" s="44"/>
      <c r="I456" s="44"/>
    </row>
    <row r="457" spans="1:9" ht="30.75">
      <c r="A457" s="14"/>
      <c r="B457" s="42" t="s">
        <v>178</v>
      </c>
      <c r="C457" s="29">
        <v>308000</v>
      </c>
      <c r="D457" s="29">
        <v>315000</v>
      </c>
      <c r="E457" s="29">
        <v>298722.63</v>
      </c>
      <c r="F457" s="138">
        <f>(E457/D457)*100</f>
        <v>94.83258095238095</v>
      </c>
      <c r="G457" s="29">
        <v>315000</v>
      </c>
      <c r="H457" s="29">
        <v>287000</v>
      </c>
      <c r="I457" s="138">
        <f>(H457/G457)*100</f>
        <v>91.11111111111111</v>
      </c>
    </row>
    <row r="458" spans="1:9" ht="15.75">
      <c r="A458" s="14"/>
      <c r="B458" s="43" t="s">
        <v>315</v>
      </c>
      <c r="C458" s="44">
        <v>0</v>
      </c>
      <c r="D458" s="44">
        <v>254417.44</v>
      </c>
      <c r="E458" s="44">
        <v>129718.49</v>
      </c>
      <c r="F458" s="143">
        <f>(E458/D458)*100</f>
        <v>50.986477184897396</v>
      </c>
      <c r="G458" s="44">
        <v>254417.44</v>
      </c>
      <c r="H458" s="44">
        <v>354180</v>
      </c>
      <c r="I458" s="140">
        <f>(H458/G458)*100</f>
        <v>139.2121546384556</v>
      </c>
    </row>
    <row r="459" spans="1:9" ht="15.75">
      <c r="A459" s="14"/>
      <c r="B459" s="43" t="s">
        <v>93</v>
      </c>
      <c r="C459" s="44"/>
      <c r="D459" s="44"/>
      <c r="E459" s="44"/>
      <c r="F459" s="44"/>
      <c r="G459" s="44"/>
      <c r="H459" s="44"/>
      <c r="I459" s="44"/>
    </row>
    <row r="460" spans="1:9" ht="15.75">
      <c r="A460" s="14"/>
      <c r="B460" s="42" t="s">
        <v>82</v>
      </c>
      <c r="C460" s="29">
        <v>0</v>
      </c>
      <c r="D460" s="29">
        <v>166760.61</v>
      </c>
      <c r="E460" s="29">
        <v>110862.66</v>
      </c>
      <c r="F460" s="138">
        <f>(E460/D460)*100</f>
        <v>66.48012381341134</v>
      </c>
      <c r="G460" s="29">
        <v>110862.66</v>
      </c>
      <c r="H460" s="29">
        <v>196097</v>
      </c>
      <c r="I460" s="138">
        <f>(H460/G460)*100</f>
        <v>176.88282059983044</v>
      </c>
    </row>
    <row r="461" spans="1:9" ht="30.75">
      <c r="A461" s="39"/>
      <c r="B461" s="77" t="s">
        <v>219</v>
      </c>
      <c r="C461" s="44">
        <v>0</v>
      </c>
      <c r="D461" s="44">
        <v>159796</v>
      </c>
      <c r="E461" s="44">
        <v>122200</v>
      </c>
      <c r="F461" s="138">
        <f>(E461/D461)*100</f>
        <v>76.47250244061178</v>
      </c>
      <c r="G461" s="44">
        <v>159796</v>
      </c>
      <c r="H461" s="44">
        <v>0</v>
      </c>
      <c r="I461" s="138">
        <f>(H461/G461)*100</f>
        <v>0</v>
      </c>
    </row>
    <row r="462" spans="1:9" ht="10.5" customHeight="1">
      <c r="A462" s="31"/>
      <c r="B462" s="46"/>
      <c r="C462" s="33"/>
      <c r="D462" s="33"/>
      <c r="E462" s="33"/>
      <c r="F462" s="33"/>
      <c r="G462" s="33"/>
      <c r="H462" s="33"/>
      <c r="I462" s="33"/>
    </row>
    <row r="463" spans="1:9" ht="32.25" thickBot="1">
      <c r="A463" s="34">
        <v>853</v>
      </c>
      <c r="B463" s="99" t="s">
        <v>57</v>
      </c>
      <c r="C463" s="36">
        <f>SUM(C465,C471)</f>
        <v>1110350</v>
      </c>
      <c r="D463" s="36">
        <f>SUM(D465,D471)</f>
        <v>1112248</v>
      </c>
      <c r="E463" s="36">
        <f>SUM(E465,E471)</f>
        <v>816635.3899999999</v>
      </c>
      <c r="F463" s="19">
        <f>(E463/D463)*100</f>
        <v>73.42205964856757</v>
      </c>
      <c r="G463" s="36">
        <f>SUM(G465,G471)</f>
        <v>1112144</v>
      </c>
      <c r="H463" s="36">
        <f>SUM(H465,H471)</f>
        <v>1119771</v>
      </c>
      <c r="I463" s="19">
        <f>(H463/G463)*100</f>
        <v>100.6857924873038</v>
      </c>
    </row>
    <row r="464" spans="1:9" ht="12.75" customHeight="1" thickTop="1">
      <c r="A464" s="14"/>
      <c r="B464" s="46"/>
      <c r="C464" s="37"/>
      <c r="D464" s="37"/>
      <c r="E464" s="37"/>
      <c r="F464" s="37"/>
      <c r="G464" s="37"/>
      <c r="H464" s="37"/>
      <c r="I464" s="37"/>
    </row>
    <row r="465" spans="1:9" ht="15.75">
      <c r="A465" s="38">
        <v>85305</v>
      </c>
      <c r="B465" s="39" t="s">
        <v>58</v>
      </c>
      <c r="C465" s="25">
        <f>SUM(C467)</f>
        <v>1110350</v>
      </c>
      <c r="D465" s="25">
        <f>SUM(D467)</f>
        <v>1110350</v>
      </c>
      <c r="E465" s="25">
        <f>SUM(E467)</f>
        <v>816635.3899999999</v>
      </c>
      <c r="F465" s="137">
        <f>(E465/D465)*100</f>
        <v>73.54756518214977</v>
      </c>
      <c r="G465" s="25">
        <f>SUM(G467)</f>
        <v>1110246</v>
      </c>
      <c r="H465" s="25">
        <f>SUM(H467)</f>
        <v>1119771</v>
      </c>
      <c r="I465" s="137">
        <f>(H465/G465)*100</f>
        <v>100.85791797493529</v>
      </c>
    </row>
    <row r="466" spans="1:9" ht="7.5" customHeight="1">
      <c r="A466" s="14"/>
      <c r="B466" s="14"/>
      <c r="C466" s="33"/>
      <c r="D466" s="33"/>
      <c r="E466" s="33"/>
      <c r="F466" s="33"/>
      <c r="G466" s="33"/>
      <c r="H466" s="33"/>
      <c r="I466" s="33"/>
    </row>
    <row r="467" spans="1:9" ht="15.75">
      <c r="A467" s="14"/>
      <c r="B467" s="27" t="s">
        <v>59</v>
      </c>
      <c r="C467" s="29">
        <f>SUM(C468:C469)</f>
        <v>1110350</v>
      </c>
      <c r="D467" s="29">
        <f>SUM(D468:D469)</f>
        <v>1110350</v>
      </c>
      <c r="E467" s="29">
        <f>SUM(E468:E469)</f>
        <v>816635.3899999999</v>
      </c>
      <c r="F467" s="138">
        <f>(E467/D467)*100</f>
        <v>73.54756518214977</v>
      </c>
      <c r="G467" s="29">
        <f>SUM(G468:G469)</f>
        <v>1110246</v>
      </c>
      <c r="H467" s="29">
        <f>SUM(H468:H469)</f>
        <v>1119771</v>
      </c>
      <c r="I467" s="138">
        <f>(H467/G467)*100</f>
        <v>100.85791797493529</v>
      </c>
    </row>
    <row r="468" spans="1:9" ht="15.75">
      <c r="A468" s="102"/>
      <c r="B468" s="41" t="s">
        <v>91</v>
      </c>
      <c r="C468" s="44">
        <f>850509</f>
        <v>850509</v>
      </c>
      <c r="D468" s="44">
        <v>835189</v>
      </c>
      <c r="E468" s="44">
        <v>611115.21</v>
      </c>
      <c r="F468" s="143">
        <f>(E468/D468)*100</f>
        <v>73.17088826600924</v>
      </c>
      <c r="G468" s="44">
        <v>835187</v>
      </c>
      <c r="H468" s="44">
        <f>871819-10000</f>
        <v>861819</v>
      </c>
      <c r="I468" s="140">
        <f>(H468/G468)*100</f>
        <v>103.18874695128157</v>
      </c>
    </row>
    <row r="469" spans="1:9" ht="15.75">
      <c r="A469" s="14"/>
      <c r="B469" s="27" t="s">
        <v>92</v>
      </c>
      <c r="C469" s="29">
        <v>259841</v>
      </c>
      <c r="D469" s="29">
        <v>275161</v>
      </c>
      <c r="E469" s="29">
        <v>205520.18</v>
      </c>
      <c r="F469" s="138">
        <f>(E469/D469)*100</f>
        <v>74.69088279225616</v>
      </c>
      <c r="G469" s="29">
        <v>275059</v>
      </c>
      <c r="H469" s="29">
        <f>257952</f>
        <v>257952</v>
      </c>
      <c r="I469" s="138">
        <f>(H469/G469)*100</f>
        <v>93.78060706975594</v>
      </c>
    </row>
    <row r="470" spans="1:9" ht="15.75">
      <c r="A470" s="14"/>
      <c r="B470" s="56"/>
      <c r="C470" s="44"/>
      <c r="D470" s="44"/>
      <c r="E470" s="44"/>
      <c r="F470" s="140"/>
      <c r="G470" s="44"/>
      <c r="H470" s="44"/>
      <c r="I470" s="140"/>
    </row>
    <row r="471" spans="1:9" ht="15.75">
      <c r="A471" s="145">
        <v>85395</v>
      </c>
      <c r="B471" s="97" t="s">
        <v>23</v>
      </c>
      <c r="C471" s="125">
        <f>SUM(C473)</f>
        <v>0</v>
      </c>
      <c r="D471" s="125">
        <f>SUM(D473)</f>
        <v>1898</v>
      </c>
      <c r="E471" s="125">
        <f>SUM(E473)</f>
        <v>0</v>
      </c>
      <c r="F471" s="137">
        <f>(E471/D471)*100</f>
        <v>0</v>
      </c>
      <c r="G471" s="125">
        <f>SUM(G473)</f>
        <v>1898</v>
      </c>
      <c r="H471" s="125">
        <f>SUM(H473)</f>
        <v>0</v>
      </c>
      <c r="I471" s="137">
        <f>(H471/G471)*100</f>
        <v>0</v>
      </c>
    </row>
    <row r="472" spans="1:9" ht="15.75">
      <c r="A472" s="14"/>
      <c r="B472" s="56"/>
      <c r="C472" s="44"/>
      <c r="D472" s="44"/>
      <c r="E472" s="44"/>
      <c r="F472" s="140"/>
      <c r="G472" s="44"/>
      <c r="H472" s="44"/>
      <c r="I472" s="140"/>
    </row>
    <row r="473" spans="1:9" ht="45.75">
      <c r="A473" s="39"/>
      <c r="B473" s="52" t="s">
        <v>316</v>
      </c>
      <c r="C473" s="29">
        <v>0</v>
      </c>
      <c r="D473" s="29">
        <v>1898</v>
      </c>
      <c r="E473" s="29">
        <v>0</v>
      </c>
      <c r="F473" s="138">
        <f>(E473/D473)*100</f>
        <v>0</v>
      </c>
      <c r="G473" s="29">
        <v>1898</v>
      </c>
      <c r="H473" s="29">
        <v>0</v>
      </c>
      <c r="I473" s="138">
        <f>(H473/G473)*100</f>
        <v>0</v>
      </c>
    </row>
    <row r="474" spans="1:9" ht="15.75">
      <c r="A474" s="14"/>
      <c r="B474" s="46"/>
      <c r="C474" s="37"/>
      <c r="D474" s="37"/>
      <c r="E474" s="37"/>
      <c r="F474" s="37"/>
      <c r="G474" s="37"/>
      <c r="H474" s="37"/>
      <c r="I474" s="37"/>
    </row>
    <row r="475" spans="1:9" ht="16.5" thickBot="1">
      <c r="A475" s="34">
        <v>854</v>
      </c>
      <c r="B475" s="99" t="s">
        <v>60</v>
      </c>
      <c r="C475" s="36">
        <f>SUM(C477,C484,C490)</f>
        <v>679490</v>
      </c>
      <c r="D475" s="36">
        <f>SUM(D477,D484,D490)</f>
        <v>849599</v>
      </c>
      <c r="E475" s="36">
        <f>SUM(E477,E484,E490)</f>
        <v>576578.58</v>
      </c>
      <c r="F475" s="19">
        <f>(E475/D475)*100</f>
        <v>67.86479033049709</v>
      </c>
      <c r="G475" s="36">
        <f>SUM(G477,G484,G490)</f>
        <v>801299</v>
      </c>
      <c r="H475" s="36">
        <f>SUM(H477,H484,H490)</f>
        <v>656544</v>
      </c>
      <c r="I475" s="19">
        <f>(H475/G475)*100</f>
        <v>81.93495811176602</v>
      </c>
    </row>
    <row r="476" spans="1:9" ht="12.75" customHeight="1" thickTop="1">
      <c r="A476" s="14"/>
      <c r="B476" s="103"/>
      <c r="C476" s="26"/>
      <c r="D476" s="26"/>
      <c r="E476" s="26"/>
      <c r="F476" s="26"/>
      <c r="G476" s="26"/>
      <c r="H476" s="26"/>
      <c r="I476" s="26"/>
    </row>
    <row r="477" spans="1:9" ht="15.75">
      <c r="A477" s="38">
        <v>85401</v>
      </c>
      <c r="B477" s="92" t="s">
        <v>61</v>
      </c>
      <c r="C477" s="25">
        <f>SUM(C479:C479)</f>
        <v>582258</v>
      </c>
      <c r="D477" s="25">
        <f>SUM(D479:D479)</f>
        <v>571795</v>
      </c>
      <c r="E477" s="25">
        <f>SUM(E479:E479)</f>
        <v>378479.12</v>
      </c>
      <c r="F477" s="137">
        <f>(E477/D477)*100</f>
        <v>66.19140076425992</v>
      </c>
      <c r="G477" s="25">
        <f>SUM(G479:G479)</f>
        <v>531795</v>
      </c>
      <c r="H477" s="25">
        <f>SUM(H479:H479)</f>
        <v>531544</v>
      </c>
      <c r="I477" s="137">
        <f>(H477/G477)*100</f>
        <v>99.95280136142686</v>
      </c>
    </row>
    <row r="478" spans="1:9" ht="7.5" customHeight="1">
      <c r="A478" s="14"/>
      <c r="B478" s="46"/>
      <c r="C478" s="40"/>
      <c r="D478" s="40"/>
      <c r="E478" s="40"/>
      <c r="F478" s="33"/>
      <c r="G478" s="40"/>
      <c r="H478" s="40"/>
      <c r="I478" s="33"/>
    </row>
    <row r="479" spans="1:9" ht="15.75">
      <c r="A479" s="14"/>
      <c r="B479" s="56" t="s">
        <v>129</v>
      </c>
      <c r="C479" s="44">
        <f>SUM(C481:C482)</f>
        <v>582258</v>
      </c>
      <c r="D479" s="44">
        <f>SUM(D481:D482)</f>
        <v>571795</v>
      </c>
      <c r="E479" s="44">
        <f>SUM(E481:E482)</f>
        <v>378479.12</v>
      </c>
      <c r="F479" s="140">
        <f>(E479/D479)*100</f>
        <v>66.19140076425992</v>
      </c>
      <c r="G479" s="44">
        <f>SUM(G481:G482)</f>
        <v>531795</v>
      </c>
      <c r="H479" s="44">
        <f>SUM(H481:H482)</f>
        <v>531544</v>
      </c>
      <c r="I479" s="140">
        <f>(H479/G479)*100</f>
        <v>99.95280136142686</v>
      </c>
    </row>
    <row r="480" spans="1:9" ht="15.75">
      <c r="A480" s="14"/>
      <c r="B480" s="56" t="s">
        <v>77</v>
      </c>
      <c r="C480" s="44"/>
      <c r="D480" s="44"/>
      <c r="E480" s="44"/>
      <c r="F480" s="44"/>
      <c r="G480" s="44"/>
      <c r="H480" s="44"/>
      <c r="I480" s="44"/>
    </row>
    <row r="481" spans="1:9" ht="15.75">
      <c r="A481" s="14"/>
      <c r="B481" s="56" t="s">
        <v>74</v>
      </c>
      <c r="C481" s="44">
        <f>548204+3915</f>
        <v>552119</v>
      </c>
      <c r="D481" s="44">
        <v>541656</v>
      </c>
      <c r="E481" s="44">
        <v>351744.85</v>
      </c>
      <c r="F481" s="140">
        <f>(E481/D481)*100</f>
        <v>64.93878956385602</v>
      </c>
      <c r="G481" s="44">
        <f>541656-40000</f>
        <v>501656</v>
      </c>
      <c r="H481" s="44">
        <f>499544+5000</f>
        <v>504544</v>
      </c>
      <c r="I481" s="140">
        <f>(H481/G481)*100</f>
        <v>100.5756933037779</v>
      </c>
    </row>
    <row r="482" spans="1:9" ht="15.75">
      <c r="A482" s="39"/>
      <c r="B482" s="27" t="s">
        <v>11</v>
      </c>
      <c r="C482" s="29">
        <v>30139</v>
      </c>
      <c r="D482" s="29">
        <v>30139</v>
      </c>
      <c r="E482" s="29">
        <v>26734.27</v>
      </c>
      <c r="F482" s="138">
        <f>(E482/D482)*100</f>
        <v>88.7032416470354</v>
      </c>
      <c r="G482" s="29">
        <v>30139</v>
      </c>
      <c r="H482" s="29">
        <v>27000</v>
      </c>
      <c r="I482" s="138">
        <f>(H482/G482)*100</f>
        <v>89.58492318922326</v>
      </c>
    </row>
    <row r="483" spans="1:9" ht="12.75" customHeight="1">
      <c r="A483" s="31"/>
      <c r="B483" s="31"/>
      <c r="C483" s="40"/>
      <c r="D483" s="40"/>
      <c r="E483" s="40"/>
      <c r="F483" s="40"/>
      <c r="G483" s="40"/>
      <c r="H483" s="40"/>
      <c r="I483" s="40"/>
    </row>
    <row r="484" spans="1:9" ht="15.75">
      <c r="A484" s="38">
        <v>85415</v>
      </c>
      <c r="B484" s="104" t="s">
        <v>84</v>
      </c>
      <c r="C484" s="25">
        <f>SUM(C486:C487)</f>
        <v>72232</v>
      </c>
      <c r="D484" s="25">
        <f>SUM(D486:D488)</f>
        <v>252324</v>
      </c>
      <c r="E484" s="25">
        <f>SUM(E486:E488)</f>
        <v>178099.46</v>
      </c>
      <c r="F484" s="137">
        <f>(E484/D484)*100</f>
        <v>70.5836384965362</v>
      </c>
      <c r="G484" s="25">
        <f>SUM(G486:G488)</f>
        <v>249024</v>
      </c>
      <c r="H484" s="25">
        <f>SUM(H486:H488)</f>
        <v>105000</v>
      </c>
      <c r="I484" s="137">
        <f>(H484/G484)*100</f>
        <v>42.164610639938324</v>
      </c>
    </row>
    <row r="485" spans="1:9" ht="10.5" customHeight="1">
      <c r="A485" s="105"/>
      <c r="B485" s="106"/>
      <c r="C485" s="40"/>
      <c r="D485" s="40"/>
      <c r="E485" s="40"/>
      <c r="F485" s="40"/>
      <c r="G485" s="40"/>
      <c r="H485" s="40"/>
      <c r="I485" s="40"/>
    </row>
    <row r="486" spans="1:9" ht="30.75">
      <c r="A486" s="14"/>
      <c r="B486" s="42" t="s">
        <v>130</v>
      </c>
      <c r="C486" s="29">
        <v>30000</v>
      </c>
      <c r="D486" s="29">
        <v>30000</v>
      </c>
      <c r="E486" s="29">
        <v>26700</v>
      </c>
      <c r="F486" s="138">
        <f>(E486/D486)*100</f>
        <v>89</v>
      </c>
      <c r="G486" s="29">
        <v>26700</v>
      </c>
      <c r="H486" s="29">
        <v>30000</v>
      </c>
      <c r="I486" s="138">
        <f>(H486/G486)*100</f>
        <v>112.35955056179776</v>
      </c>
    </row>
    <row r="487" spans="1:9" ht="15.75">
      <c r="A487" s="14"/>
      <c r="B487" s="77" t="s">
        <v>131</v>
      </c>
      <c r="C487" s="67">
        <v>42232</v>
      </c>
      <c r="D487" s="67">
        <v>137032</v>
      </c>
      <c r="E487" s="67">
        <v>121829.03</v>
      </c>
      <c r="F487" s="138">
        <f>(E487/D487)*100</f>
        <v>88.90553301418646</v>
      </c>
      <c r="G487" s="67">
        <v>137032</v>
      </c>
      <c r="H487" s="67">
        <v>75000</v>
      </c>
      <c r="I487" s="138">
        <f>(H487/G487)*100</f>
        <v>54.73174149103859</v>
      </c>
    </row>
    <row r="488" spans="1:9" ht="30.75">
      <c r="A488" s="14"/>
      <c r="B488" s="78" t="s">
        <v>317</v>
      </c>
      <c r="C488" s="62"/>
      <c r="D488" s="62">
        <v>85292</v>
      </c>
      <c r="E488" s="62">
        <v>29570.43</v>
      </c>
      <c r="F488" s="138">
        <f>(E488/D488)*100</f>
        <v>34.66964076349482</v>
      </c>
      <c r="G488" s="62">
        <v>85292</v>
      </c>
      <c r="H488" s="62">
        <v>0</v>
      </c>
      <c r="I488" s="138">
        <f>(H488/G488)*100</f>
        <v>0</v>
      </c>
    </row>
    <row r="489" spans="1:9" ht="15.75">
      <c r="A489" s="14"/>
      <c r="B489" s="78"/>
      <c r="C489" s="62"/>
      <c r="D489" s="62"/>
      <c r="E489" s="62"/>
      <c r="F489" s="62"/>
      <c r="G489" s="62"/>
      <c r="H489" s="62"/>
      <c r="I489" s="62"/>
    </row>
    <row r="490" spans="1:9" ht="15.75">
      <c r="A490" s="38">
        <v>85495</v>
      </c>
      <c r="B490" s="83" t="s">
        <v>23</v>
      </c>
      <c r="C490" s="125">
        <f>SUM(C492:C493)</f>
        <v>25000</v>
      </c>
      <c r="D490" s="125">
        <f>SUM(D492:D493)</f>
        <v>25480</v>
      </c>
      <c r="E490" s="125">
        <f>SUM(E492:E493)</f>
        <v>20000</v>
      </c>
      <c r="F490" s="137">
        <f>(E490/D490)*100</f>
        <v>78.49293563579278</v>
      </c>
      <c r="G490" s="125">
        <f>SUM(G492:G493)</f>
        <v>20480</v>
      </c>
      <c r="H490" s="125">
        <f>SUM(H492:H493)</f>
        <v>20000</v>
      </c>
      <c r="I490" s="137">
        <f>(H490/G490)*100</f>
        <v>97.65625</v>
      </c>
    </row>
    <row r="491" spans="1:9" ht="6" customHeight="1">
      <c r="A491" s="14"/>
      <c r="B491" s="43"/>
      <c r="C491" s="44"/>
      <c r="D491" s="44"/>
      <c r="E491" s="44"/>
      <c r="F491" s="40"/>
      <c r="G491" s="44"/>
      <c r="H491" s="44"/>
      <c r="I491" s="40"/>
    </row>
    <row r="492" spans="1:9" ht="45.75">
      <c r="A492" s="14"/>
      <c r="B492" s="42" t="s">
        <v>191</v>
      </c>
      <c r="C492" s="29">
        <v>25000</v>
      </c>
      <c r="D492" s="29">
        <v>25000</v>
      </c>
      <c r="E492" s="29">
        <v>20000</v>
      </c>
      <c r="F492" s="138">
        <f>(E492/D492)*100</f>
        <v>80</v>
      </c>
      <c r="G492" s="29">
        <v>20000</v>
      </c>
      <c r="H492" s="29">
        <v>20000</v>
      </c>
      <c r="I492" s="138">
        <f>(H492/G492)*100</f>
        <v>100</v>
      </c>
    </row>
    <row r="493" spans="1:9" ht="60.75">
      <c r="A493" s="39"/>
      <c r="B493" s="77" t="s">
        <v>318</v>
      </c>
      <c r="C493" s="67">
        <v>0</v>
      </c>
      <c r="D493" s="67">
        <v>480</v>
      </c>
      <c r="E493" s="67">
        <v>0</v>
      </c>
      <c r="F493" s="138">
        <f>(E493/D493)*100</f>
        <v>0</v>
      </c>
      <c r="G493" s="67">
        <v>480</v>
      </c>
      <c r="H493" s="67">
        <v>0</v>
      </c>
      <c r="I493" s="138">
        <f>(H493/G493)*100</f>
        <v>0</v>
      </c>
    </row>
    <row r="494" spans="1:9" ht="16.5" thickBot="1">
      <c r="A494" s="30"/>
      <c r="B494" s="85"/>
      <c r="C494" s="70"/>
      <c r="D494" s="70"/>
      <c r="E494" s="70"/>
      <c r="F494" s="147"/>
      <c r="G494" s="70"/>
      <c r="H494" s="70"/>
      <c r="I494" s="147"/>
    </row>
    <row r="495" spans="1:9" ht="15.75">
      <c r="A495" s="2"/>
      <c r="B495" s="3"/>
      <c r="C495" s="4"/>
      <c r="D495" s="4"/>
      <c r="E495" s="4"/>
      <c r="F495" s="4"/>
      <c r="G495" s="4"/>
      <c r="H495" s="4"/>
      <c r="I495" s="4"/>
    </row>
    <row r="496" spans="1:9" ht="15.75">
      <c r="A496" s="5" t="s">
        <v>19</v>
      </c>
      <c r="B496" s="6" t="s">
        <v>0</v>
      </c>
      <c r="C496" s="7" t="s">
        <v>205</v>
      </c>
      <c r="D496" s="7" t="s">
        <v>205</v>
      </c>
      <c r="E496" s="7" t="s">
        <v>207</v>
      </c>
      <c r="F496" s="7" t="s">
        <v>208</v>
      </c>
      <c r="G496" s="7" t="s">
        <v>227</v>
      </c>
      <c r="H496" s="7" t="s">
        <v>228</v>
      </c>
      <c r="I496" s="7" t="s">
        <v>208</v>
      </c>
    </row>
    <row r="497" spans="1:9" ht="15.75">
      <c r="A497" s="5" t="s">
        <v>21</v>
      </c>
      <c r="B497" s="8"/>
      <c r="C497" s="7" t="s">
        <v>206</v>
      </c>
      <c r="D497" s="7" t="s">
        <v>226</v>
      </c>
      <c r="E497" s="7" t="s">
        <v>226</v>
      </c>
      <c r="F497" s="7" t="s">
        <v>209</v>
      </c>
      <c r="G497" s="7" t="s">
        <v>229</v>
      </c>
      <c r="H497" s="7" t="s">
        <v>231</v>
      </c>
      <c r="I497" s="7" t="s">
        <v>209</v>
      </c>
    </row>
    <row r="498" spans="1:9" ht="16.5" thickBot="1">
      <c r="A498" s="9"/>
      <c r="B498" s="10"/>
      <c r="C498" s="11" t="s">
        <v>186</v>
      </c>
      <c r="D498" s="11" t="s">
        <v>186</v>
      </c>
      <c r="E498" s="11" t="s">
        <v>186</v>
      </c>
      <c r="F498" s="11"/>
      <c r="G498" s="11" t="s">
        <v>230</v>
      </c>
      <c r="H498" s="11" t="s">
        <v>232</v>
      </c>
      <c r="I498" s="11"/>
    </row>
    <row r="499" spans="1:9" ht="12.75" customHeight="1">
      <c r="A499" s="31"/>
      <c r="B499" s="31"/>
      <c r="C499" s="33"/>
      <c r="D499" s="33"/>
      <c r="E499" s="33"/>
      <c r="F499" s="33"/>
      <c r="G499" s="33"/>
      <c r="H499" s="33"/>
      <c r="I499" s="33"/>
    </row>
    <row r="500" spans="1:9" ht="32.25" thickBot="1">
      <c r="A500" s="34">
        <v>900</v>
      </c>
      <c r="B500" s="84" t="s">
        <v>62</v>
      </c>
      <c r="C500" s="36">
        <f>SUM(C502,C510,C520,C531,C548,C556,C566)</f>
        <v>8023150</v>
      </c>
      <c r="D500" s="36">
        <f>SUM(D502,D510,D520,D531,D548,D556,D566)</f>
        <v>8025150</v>
      </c>
      <c r="E500" s="36">
        <f>SUM(E502,E510,E520,E531,E548,E556,E566)</f>
        <v>3111542.9400000004</v>
      </c>
      <c r="F500" s="19">
        <f>(E500/D500)*100</f>
        <v>38.772396029980754</v>
      </c>
      <c r="G500" s="36">
        <f>SUM(G502,G510,G520,G531,G548,G556,G566)</f>
        <v>5921924.83</v>
      </c>
      <c r="H500" s="36">
        <f>SUM(H502,H510,H520,H531,H548,H556,H566)</f>
        <v>6909009</v>
      </c>
      <c r="I500" s="19">
        <f>(H500/G500)*100</f>
        <v>116.6682995535423</v>
      </c>
    </row>
    <row r="501" spans="1:9" ht="12.75" customHeight="1" thickTop="1">
      <c r="A501" s="14"/>
      <c r="B501" s="14"/>
      <c r="C501" s="26"/>
      <c r="D501" s="26"/>
      <c r="E501" s="26"/>
      <c r="F501" s="26"/>
      <c r="G501" s="26"/>
      <c r="H501" s="26"/>
      <c r="I501" s="26"/>
    </row>
    <row r="502" spans="1:9" ht="15.75">
      <c r="A502" s="38">
        <v>90001</v>
      </c>
      <c r="B502" s="68" t="s">
        <v>63</v>
      </c>
      <c r="C502" s="25">
        <f>SUM(C504:C507)</f>
        <v>245000</v>
      </c>
      <c r="D502" s="25">
        <f>SUM(D504:D507)</f>
        <v>226000</v>
      </c>
      <c r="E502" s="25">
        <f>SUM(E504:E507)</f>
        <v>86669.75</v>
      </c>
      <c r="F502" s="137">
        <f>(E502/D502)*100</f>
        <v>38.34944690265487</v>
      </c>
      <c r="G502" s="25">
        <f>SUM(G504:G507)</f>
        <v>201080</v>
      </c>
      <c r="H502" s="25">
        <f>SUM(H504:H507)</f>
        <v>260000</v>
      </c>
      <c r="I502" s="137">
        <f>(H502/G502)*100</f>
        <v>129.30177043962604</v>
      </c>
    </row>
    <row r="503" spans="1:9" ht="7.5" customHeight="1">
      <c r="A503" s="14"/>
      <c r="B503" s="14"/>
      <c r="C503" s="37"/>
      <c r="D503" s="37"/>
      <c r="E503" s="37"/>
      <c r="F503" s="37"/>
      <c r="G503" s="37"/>
      <c r="H503" s="37"/>
      <c r="I503" s="37"/>
    </row>
    <row r="504" spans="1:9" ht="15.75">
      <c r="A504" s="14"/>
      <c r="B504" s="27" t="s">
        <v>224</v>
      </c>
      <c r="C504" s="29">
        <v>200000</v>
      </c>
      <c r="D504" s="29">
        <v>166000</v>
      </c>
      <c r="E504" s="29">
        <v>51589.75</v>
      </c>
      <c r="F504" s="138">
        <f>(E504/D504)*100</f>
        <v>31.07816265060241</v>
      </c>
      <c r="G504" s="29">
        <v>166000</v>
      </c>
      <c r="H504" s="29">
        <v>210000</v>
      </c>
      <c r="I504" s="138">
        <f>(H504/G504)*100</f>
        <v>126.50602409638554</v>
      </c>
    </row>
    <row r="505" spans="1:9" ht="30.75">
      <c r="A505" s="14"/>
      <c r="B505" s="77" t="s">
        <v>132</v>
      </c>
      <c r="C505" s="67">
        <v>45000</v>
      </c>
      <c r="D505" s="67">
        <v>45000</v>
      </c>
      <c r="E505" s="67">
        <v>20166</v>
      </c>
      <c r="F505" s="138">
        <f>(E505/D505)*100</f>
        <v>44.81333333333333</v>
      </c>
      <c r="G505" s="67">
        <v>20166</v>
      </c>
      <c r="H505" s="67">
        <v>50000</v>
      </c>
      <c r="I505" s="138">
        <f>(H505/G505)*100</f>
        <v>247.9420807299415</v>
      </c>
    </row>
    <row r="506" spans="1:9" ht="15.75">
      <c r="A506" s="14"/>
      <c r="B506" s="146" t="s">
        <v>220</v>
      </c>
      <c r="C506" s="62">
        <f>SUM(C508)</f>
        <v>0</v>
      </c>
      <c r="D506" s="153">
        <f>SUM(D508:D508)</f>
        <v>15000</v>
      </c>
      <c r="E506" s="153">
        <f>SUM(E508:E508)</f>
        <v>14914</v>
      </c>
      <c r="F506" s="143">
        <f>(E506/D506)*100</f>
        <v>99.42666666666666</v>
      </c>
      <c r="G506" s="153">
        <f>SUM(G508:G508)</f>
        <v>14914</v>
      </c>
      <c r="H506" s="153">
        <f>SUM(H508:H508)</f>
        <v>0</v>
      </c>
      <c r="I506" s="141">
        <f>(H506/G506)*100</f>
        <v>0</v>
      </c>
    </row>
    <row r="507" spans="1:9" ht="15.75">
      <c r="A507" s="14"/>
      <c r="B507" s="54" t="s">
        <v>2</v>
      </c>
      <c r="C507" s="44"/>
      <c r="D507" s="44"/>
      <c r="E507" s="44"/>
      <c r="F507" s="140"/>
      <c r="G507" s="44"/>
      <c r="H507" s="44"/>
      <c r="I507" s="140"/>
    </row>
    <row r="508" spans="1:9" ht="45.75">
      <c r="A508" s="14"/>
      <c r="B508" s="42" t="s">
        <v>319</v>
      </c>
      <c r="C508" s="29">
        <v>0</v>
      </c>
      <c r="D508" s="29">
        <v>15000</v>
      </c>
      <c r="E508" s="29">
        <v>14914</v>
      </c>
      <c r="F508" s="138">
        <f>(E508/D508)*100</f>
        <v>99.42666666666666</v>
      </c>
      <c r="G508" s="29">
        <v>14914</v>
      </c>
      <c r="H508" s="29">
        <v>0</v>
      </c>
      <c r="I508" s="138">
        <f>(H508/G508)*100</f>
        <v>0</v>
      </c>
    </row>
    <row r="509" spans="1:9" ht="12.75" customHeight="1">
      <c r="A509" s="14"/>
      <c r="B509" s="31"/>
      <c r="C509" s="33"/>
      <c r="D509" s="33"/>
      <c r="E509" s="33"/>
      <c r="F509" s="33"/>
      <c r="G509" s="33"/>
      <c r="H509" s="33"/>
      <c r="I509" s="33"/>
    </row>
    <row r="510" spans="1:9" ht="15.75">
      <c r="A510" s="38">
        <v>90002</v>
      </c>
      <c r="B510" s="39" t="s">
        <v>64</v>
      </c>
      <c r="C510" s="25">
        <f>SUM(C512:C514)</f>
        <v>4010150</v>
      </c>
      <c r="D510" s="25">
        <f>SUM(D512:D514,D516)</f>
        <v>4010150</v>
      </c>
      <c r="E510" s="25">
        <f>SUM(E512:E514,E516)</f>
        <v>395752.41000000003</v>
      </c>
      <c r="F510" s="137">
        <f>(E510/D510)*100</f>
        <v>9.868768250564194</v>
      </c>
      <c r="G510" s="25">
        <f>SUM(G512:G514,G516)</f>
        <v>2105357</v>
      </c>
      <c r="H510" s="25">
        <f>SUM(H512:H514,H516)</f>
        <v>3329009</v>
      </c>
      <c r="I510" s="137">
        <f>(H510/G510)*100</f>
        <v>158.12087926180692</v>
      </c>
    </row>
    <row r="511" spans="1:9" ht="9" customHeight="1">
      <c r="A511" s="14"/>
      <c r="B511" s="31"/>
      <c r="C511" s="40"/>
      <c r="D511" s="40"/>
      <c r="E511" s="40"/>
      <c r="F511" s="40"/>
      <c r="G511" s="40"/>
      <c r="H511" s="40"/>
      <c r="I511" s="40"/>
    </row>
    <row r="512" spans="1:9" ht="30.75">
      <c r="A512" s="14"/>
      <c r="B512" s="42" t="s">
        <v>179</v>
      </c>
      <c r="C512" s="29">
        <v>10000</v>
      </c>
      <c r="D512" s="29">
        <v>10000</v>
      </c>
      <c r="E512" s="29">
        <v>6573.96</v>
      </c>
      <c r="F512" s="138">
        <f>(E512/D512)*100</f>
        <v>65.7396</v>
      </c>
      <c r="G512" s="29">
        <v>10000</v>
      </c>
      <c r="H512" s="29">
        <v>0</v>
      </c>
      <c r="I512" s="138">
        <f>(H512/G512)*100</f>
        <v>0</v>
      </c>
    </row>
    <row r="513" spans="1:9" ht="30.75">
      <c r="A513" s="14"/>
      <c r="B513" s="42" t="s">
        <v>180</v>
      </c>
      <c r="C513" s="29">
        <v>150</v>
      </c>
      <c r="D513" s="29">
        <v>150</v>
      </c>
      <c r="E513" s="29">
        <v>140</v>
      </c>
      <c r="F513" s="138">
        <f>(E513/D513)*100</f>
        <v>93.33333333333333</v>
      </c>
      <c r="G513" s="29">
        <v>140</v>
      </c>
      <c r="H513" s="29">
        <v>180</v>
      </c>
      <c r="I513" s="138">
        <f>(H513/G513)*100</f>
        <v>128.57142857142858</v>
      </c>
    </row>
    <row r="514" spans="1:9" ht="45.75">
      <c r="A514" s="14"/>
      <c r="B514" s="78" t="s">
        <v>199</v>
      </c>
      <c r="C514" s="67">
        <v>4000000</v>
      </c>
      <c r="D514" s="62">
        <v>3974000</v>
      </c>
      <c r="E514" s="62">
        <v>389038.45</v>
      </c>
      <c r="F514" s="140">
        <f>(E514/D514)*100</f>
        <v>9.789593608454958</v>
      </c>
      <c r="G514" s="62">
        <v>2069217</v>
      </c>
      <c r="H514" s="62">
        <v>3328829</v>
      </c>
      <c r="I514" s="140">
        <f>(H514/G514)*100</f>
        <v>160.87384745050906</v>
      </c>
    </row>
    <row r="515" spans="1:9" ht="30.75">
      <c r="A515" s="14"/>
      <c r="B515" s="42" t="s">
        <v>340</v>
      </c>
      <c r="C515" s="62"/>
      <c r="D515" s="29">
        <v>160000</v>
      </c>
      <c r="E515" s="29">
        <v>26031.41</v>
      </c>
      <c r="F515" s="138">
        <f>(E515/D515)*100</f>
        <v>16.26963125</v>
      </c>
      <c r="G515" s="29">
        <v>73418.45</v>
      </c>
      <c r="H515" s="29">
        <v>180000</v>
      </c>
      <c r="I515" s="140">
        <f>(H515/G515)*100</f>
        <v>245.16998111510117</v>
      </c>
    </row>
    <row r="516" spans="1:9" ht="15.75">
      <c r="A516" s="14"/>
      <c r="B516" s="146" t="s">
        <v>220</v>
      </c>
      <c r="C516" s="62">
        <f>SUM(C518)</f>
        <v>0</v>
      </c>
      <c r="D516" s="153">
        <f>SUM(D518)</f>
        <v>26000</v>
      </c>
      <c r="E516" s="153">
        <f>SUM(E518)</f>
        <v>0</v>
      </c>
      <c r="F516" s="143">
        <f>(E516/D516)*100</f>
        <v>0</v>
      </c>
      <c r="G516" s="153">
        <f>SUM(G518)</f>
        <v>26000</v>
      </c>
      <c r="H516" s="153">
        <f>SUM(H518)</f>
        <v>0</v>
      </c>
      <c r="I516" s="141">
        <f>(H516/G516)*100</f>
        <v>0</v>
      </c>
    </row>
    <row r="517" spans="1:9" ht="15.75">
      <c r="A517" s="14"/>
      <c r="B517" s="54" t="s">
        <v>2</v>
      </c>
      <c r="C517" s="44"/>
      <c r="D517" s="44"/>
      <c r="E517" s="44"/>
      <c r="F517" s="140"/>
      <c r="G517" s="44"/>
      <c r="H517" s="44"/>
      <c r="I517" s="140"/>
    </row>
    <row r="518" spans="1:9" ht="45.75">
      <c r="A518" s="14"/>
      <c r="B518" s="42" t="s">
        <v>320</v>
      </c>
      <c r="C518" s="29">
        <v>0</v>
      </c>
      <c r="D518" s="29">
        <v>26000</v>
      </c>
      <c r="E518" s="29">
        <v>0</v>
      </c>
      <c r="F518" s="138">
        <f>(E518/D518)*100</f>
        <v>0</v>
      </c>
      <c r="G518" s="29">
        <v>26000</v>
      </c>
      <c r="H518" s="29">
        <v>0</v>
      </c>
      <c r="I518" s="138">
        <f>(H518/G518)*100</f>
        <v>0</v>
      </c>
    </row>
    <row r="519" spans="1:9" ht="12.75" customHeight="1">
      <c r="A519" s="14"/>
      <c r="B519" s="14"/>
      <c r="C519" s="33"/>
      <c r="D519" s="33"/>
      <c r="E519" s="33"/>
      <c r="F519" s="33"/>
      <c r="G519" s="33"/>
      <c r="H519" s="33"/>
      <c r="I519" s="33"/>
    </row>
    <row r="520" spans="1:9" ht="15.75">
      <c r="A520" s="38">
        <v>90003</v>
      </c>
      <c r="B520" s="39" t="s">
        <v>65</v>
      </c>
      <c r="C520" s="25">
        <f>SUM(C522:C526)</f>
        <v>836000</v>
      </c>
      <c r="D520" s="25">
        <f>SUM(D522:D526,D527)</f>
        <v>828000</v>
      </c>
      <c r="E520" s="25">
        <f>SUM(E522:E526,E527)</f>
        <v>595535.7899999999</v>
      </c>
      <c r="F520" s="137">
        <f>(E520/D520)*100</f>
        <v>71.92461231884057</v>
      </c>
      <c r="G520" s="25">
        <f>SUM(G522:G526,G527)</f>
        <v>770021.65</v>
      </c>
      <c r="H520" s="25">
        <f>SUM(H522:H526,H527)</f>
        <v>932000</v>
      </c>
      <c r="I520" s="137">
        <f>(H520/G520)*100</f>
        <v>121.03555789632668</v>
      </c>
    </row>
    <row r="521" spans="1:9" ht="12.75" customHeight="1">
      <c r="A521" s="14"/>
      <c r="B521" s="31"/>
      <c r="C521" s="40"/>
      <c r="D521" s="40"/>
      <c r="E521" s="40"/>
      <c r="F521" s="40"/>
      <c r="G521" s="40"/>
      <c r="H521" s="40"/>
      <c r="I521" s="40"/>
    </row>
    <row r="522" spans="1:9" ht="15.75">
      <c r="A522" s="14"/>
      <c r="B522" s="42" t="s">
        <v>157</v>
      </c>
      <c r="C522" s="29">
        <v>50000</v>
      </c>
      <c r="D522" s="29">
        <v>52078</v>
      </c>
      <c r="E522" s="29">
        <v>39606.09</v>
      </c>
      <c r="F522" s="138">
        <f>(E522/D522)*100</f>
        <v>76.05148047160029</v>
      </c>
      <c r="G522" s="29">
        <v>52078</v>
      </c>
      <c r="H522" s="29">
        <v>56000</v>
      </c>
      <c r="I522" s="138">
        <f>(H522/G522)*100</f>
        <v>107.53101117554438</v>
      </c>
    </row>
    <row r="523" spans="1:9" ht="15.75">
      <c r="A523" s="14"/>
      <c r="B523" s="27" t="s">
        <v>158</v>
      </c>
      <c r="C523" s="29">
        <v>760000</v>
      </c>
      <c r="D523" s="29">
        <v>757922</v>
      </c>
      <c r="E523" s="29">
        <v>543118.48</v>
      </c>
      <c r="F523" s="138">
        <f>(E523/D523)*100</f>
        <v>71.65888838165405</v>
      </c>
      <c r="G523" s="29">
        <v>701626.03</v>
      </c>
      <c r="H523" s="29">
        <f>800000+30000</f>
        <v>830000</v>
      </c>
      <c r="I523" s="138">
        <f>(H523/G523)*100</f>
        <v>118.29663731261508</v>
      </c>
    </row>
    <row r="524" spans="1:9" ht="15.75">
      <c r="A524" s="14"/>
      <c r="B524" s="27" t="s">
        <v>321</v>
      </c>
      <c r="C524" s="29">
        <v>10000</v>
      </c>
      <c r="D524" s="29">
        <v>2000</v>
      </c>
      <c r="E524" s="29">
        <v>0</v>
      </c>
      <c r="F524" s="138">
        <f>(E524/D524)*100</f>
        <v>0</v>
      </c>
      <c r="G524" s="29">
        <v>2000</v>
      </c>
      <c r="H524" s="29">
        <v>5000</v>
      </c>
      <c r="I524" s="138">
        <f>(H524/G524)*100</f>
        <v>250</v>
      </c>
    </row>
    <row r="525" spans="1:9" ht="30" customHeight="1">
      <c r="A525" s="14"/>
      <c r="B525" s="42" t="s">
        <v>159</v>
      </c>
      <c r="C525" s="29">
        <v>15000</v>
      </c>
      <c r="D525" s="29">
        <v>15000</v>
      </c>
      <c r="E525" s="29">
        <v>12811.22</v>
      </c>
      <c r="F525" s="138">
        <f>(E525/D525)*100</f>
        <v>85.40813333333332</v>
      </c>
      <c r="G525" s="29">
        <v>13317.62</v>
      </c>
      <c r="H525" s="29">
        <v>20000</v>
      </c>
      <c r="I525" s="138">
        <f>(H525/G525)*100</f>
        <v>150.1769835751433</v>
      </c>
    </row>
    <row r="526" spans="1:9" ht="30.75">
      <c r="A526" s="14"/>
      <c r="B526" s="77" t="s">
        <v>160</v>
      </c>
      <c r="C526" s="67">
        <v>1000</v>
      </c>
      <c r="D526" s="67">
        <v>1000</v>
      </c>
      <c r="E526" s="67">
        <v>0</v>
      </c>
      <c r="F526" s="138">
        <f>(E526/D526)*100</f>
        <v>0</v>
      </c>
      <c r="G526" s="67">
        <v>1000</v>
      </c>
      <c r="H526" s="67">
        <v>1000</v>
      </c>
      <c r="I526" s="138">
        <f>(H526/G526)*100</f>
        <v>100</v>
      </c>
    </row>
    <row r="527" spans="1:9" ht="15.75">
      <c r="A527" s="14"/>
      <c r="B527" s="146" t="s">
        <v>220</v>
      </c>
      <c r="C527" s="62">
        <f>SUM(C529)</f>
        <v>0</v>
      </c>
      <c r="D527" s="153">
        <f>SUM(D529)</f>
        <v>0</v>
      </c>
      <c r="E527" s="153">
        <f>SUM(E529)</f>
        <v>0</v>
      </c>
      <c r="F527" s="143">
        <v>0</v>
      </c>
      <c r="G527" s="153">
        <f>SUM(G529)</f>
        <v>0</v>
      </c>
      <c r="H527" s="153">
        <f>SUM(H529)</f>
        <v>20000</v>
      </c>
      <c r="I527" s="141">
        <v>0</v>
      </c>
    </row>
    <row r="528" spans="1:9" ht="15.75">
      <c r="A528" s="14"/>
      <c r="B528" s="54" t="s">
        <v>2</v>
      </c>
      <c r="C528" s="44"/>
      <c r="D528" s="44"/>
      <c r="E528" s="44"/>
      <c r="F528" s="140"/>
      <c r="G528" s="44"/>
      <c r="H528" s="44"/>
      <c r="I528" s="140"/>
    </row>
    <row r="529" spans="1:9" ht="30.75">
      <c r="A529" s="14"/>
      <c r="B529" s="42" t="s">
        <v>322</v>
      </c>
      <c r="C529" s="29">
        <v>0</v>
      </c>
      <c r="D529" s="29">
        <v>0</v>
      </c>
      <c r="E529" s="29">
        <v>0</v>
      </c>
      <c r="F529" s="138">
        <v>0</v>
      </c>
      <c r="G529" s="29">
        <v>0</v>
      </c>
      <c r="H529" s="29">
        <v>20000</v>
      </c>
      <c r="I529" s="138">
        <v>0</v>
      </c>
    </row>
    <row r="530" spans="1:9" ht="12.75" customHeight="1">
      <c r="A530" s="14"/>
      <c r="B530" s="31"/>
      <c r="C530" s="33"/>
      <c r="D530" s="33"/>
      <c r="E530" s="33"/>
      <c r="F530" s="33"/>
      <c r="G530" s="33"/>
      <c r="H530" s="33"/>
      <c r="I530" s="33"/>
    </row>
    <row r="531" spans="1:9" ht="15.75">
      <c r="A531" s="38">
        <v>90004</v>
      </c>
      <c r="B531" s="68" t="s">
        <v>66</v>
      </c>
      <c r="C531" s="25">
        <f>SUM(C533:C537,C539)</f>
        <v>979000</v>
      </c>
      <c r="D531" s="25">
        <f>SUM(D533,D535:D537,D539)</f>
        <v>979000</v>
      </c>
      <c r="E531" s="25">
        <f>SUM(E533,E535:E537,E539)</f>
        <v>766925.02</v>
      </c>
      <c r="F531" s="137">
        <f>(E531/D531)*100</f>
        <v>78.33759141981615</v>
      </c>
      <c r="G531" s="25">
        <f>SUM(G533,G535:G537,G539)</f>
        <v>887666.1799999999</v>
      </c>
      <c r="H531" s="25">
        <f>SUM(H533,H535:H537,H539)</f>
        <v>510000</v>
      </c>
      <c r="I531" s="137">
        <f>(H531/G531)*100</f>
        <v>57.45403074836084</v>
      </c>
    </row>
    <row r="532" spans="1:9" ht="9.75" customHeight="1">
      <c r="A532" s="14"/>
      <c r="B532" s="51"/>
      <c r="C532" s="40"/>
      <c r="D532" s="40"/>
      <c r="E532" s="40"/>
      <c r="F532" s="40"/>
      <c r="G532" s="40"/>
      <c r="H532" s="40"/>
      <c r="I532" s="40"/>
    </row>
    <row r="533" spans="1:9" ht="15.75">
      <c r="A533" s="14"/>
      <c r="B533" s="43" t="s">
        <v>161</v>
      </c>
      <c r="C533" s="44">
        <v>130000</v>
      </c>
      <c r="D533" s="44">
        <v>131200</v>
      </c>
      <c r="E533" s="44">
        <v>75382.34</v>
      </c>
      <c r="F533" s="140">
        <f aca="true" t="shared" si="10" ref="F533:F539">(E533/D533)*100</f>
        <v>57.4560518292683</v>
      </c>
      <c r="G533" s="44">
        <v>105200</v>
      </c>
      <c r="H533" s="44">
        <v>94000</v>
      </c>
      <c r="I533" s="140">
        <f aca="true" t="shared" si="11" ref="I533:I539">(H533/G533)*100</f>
        <v>89.35361216730038</v>
      </c>
    </row>
    <row r="534" spans="1:9" ht="30.75">
      <c r="A534" s="14"/>
      <c r="B534" s="42" t="s">
        <v>340</v>
      </c>
      <c r="C534" s="44"/>
      <c r="D534" s="44">
        <v>1200</v>
      </c>
      <c r="E534" s="44">
        <v>1171.9</v>
      </c>
      <c r="F534" s="138">
        <f t="shared" si="10"/>
        <v>97.65833333333333</v>
      </c>
      <c r="G534" s="44">
        <v>1171.9</v>
      </c>
      <c r="H534" s="44">
        <v>0</v>
      </c>
      <c r="I534" s="138">
        <f t="shared" si="11"/>
        <v>0</v>
      </c>
    </row>
    <row r="535" spans="1:9" ht="15.75">
      <c r="A535" s="14"/>
      <c r="B535" s="107" t="s">
        <v>162</v>
      </c>
      <c r="C535" s="67">
        <v>80000</v>
      </c>
      <c r="D535" s="67">
        <v>125700</v>
      </c>
      <c r="E535" s="67">
        <v>119230.2</v>
      </c>
      <c r="F535" s="138">
        <f t="shared" si="10"/>
        <v>94.85298329355608</v>
      </c>
      <c r="G535" s="67">
        <v>125700</v>
      </c>
      <c r="H535" s="67">
        <f>140000-10000</f>
        <v>130000</v>
      </c>
      <c r="I535" s="138">
        <f t="shared" si="11"/>
        <v>103.42084327764518</v>
      </c>
    </row>
    <row r="536" spans="1:9" ht="30.75">
      <c r="A536" s="14"/>
      <c r="B536" s="77" t="s">
        <v>325</v>
      </c>
      <c r="C536" s="67">
        <v>1000</v>
      </c>
      <c r="D536" s="67">
        <v>1000</v>
      </c>
      <c r="E536" s="67">
        <v>0</v>
      </c>
      <c r="F536" s="138">
        <f t="shared" si="10"/>
        <v>0</v>
      </c>
      <c r="G536" s="67">
        <v>1000</v>
      </c>
      <c r="H536" s="67">
        <v>1000</v>
      </c>
      <c r="I536" s="138">
        <f t="shared" si="11"/>
        <v>100</v>
      </c>
    </row>
    <row r="537" spans="1:9" ht="15.75">
      <c r="A537" s="14"/>
      <c r="B537" s="78" t="s">
        <v>163</v>
      </c>
      <c r="C537" s="62">
        <v>150000</v>
      </c>
      <c r="D537" s="62">
        <v>103100</v>
      </c>
      <c r="E537" s="62">
        <v>62696.3</v>
      </c>
      <c r="F537" s="143">
        <f t="shared" si="10"/>
        <v>60.81115421920465</v>
      </c>
      <c r="G537" s="62">
        <v>103100</v>
      </c>
      <c r="H537" s="62">
        <f>130000-10000</f>
        <v>120000</v>
      </c>
      <c r="I537" s="143">
        <f t="shared" si="11"/>
        <v>116.39185257032008</v>
      </c>
    </row>
    <row r="538" spans="1:9" ht="30.75">
      <c r="A538" s="14"/>
      <c r="B538" s="42" t="s">
        <v>340</v>
      </c>
      <c r="C538" s="44"/>
      <c r="D538" s="29">
        <v>2400</v>
      </c>
      <c r="E538" s="29">
        <v>2343.8</v>
      </c>
      <c r="F538" s="138">
        <f t="shared" si="10"/>
        <v>97.65833333333333</v>
      </c>
      <c r="G538" s="29">
        <v>2343.8</v>
      </c>
      <c r="H538" s="29">
        <v>0</v>
      </c>
      <c r="I538" s="138">
        <f t="shared" si="11"/>
        <v>0</v>
      </c>
    </row>
    <row r="539" spans="1:9" ht="15.75">
      <c r="A539" s="14"/>
      <c r="B539" s="54" t="s">
        <v>103</v>
      </c>
      <c r="C539" s="55">
        <f>SUM(C541:C543)</f>
        <v>618000</v>
      </c>
      <c r="D539" s="55">
        <f>SUM(D541:D546)</f>
        <v>618000</v>
      </c>
      <c r="E539" s="55">
        <f>SUM(E541:E546)</f>
        <v>509616.18</v>
      </c>
      <c r="F539" s="142">
        <f t="shared" si="10"/>
        <v>82.4621650485437</v>
      </c>
      <c r="G539" s="55">
        <f>SUM(G541:G546)</f>
        <v>552666.1799999999</v>
      </c>
      <c r="H539" s="55">
        <f>SUM(H541:H546)</f>
        <v>165000</v>
      </c>
      <c r="I539" s="142">
        <f t="shared" si="11"/>
        <v>29.85527357581389</v>
      </c>
    </row>
    <row r="540" spans="1:9" ht="15.75">
      <c r="A540" s="14"/>
      <c r="B540" s="54" t="s">
        <v>2</v>
      </c>
      <c r="C540" s="55"/>
      <c r="D540" s="55"/>
      <c r="E540" s="55"/>
      <c r="F540" s="55"/>
      <c r="G540" s="55"/>
      <c r="H540" s="55"/>
      <c r="I540" s="55"/>
    </row>
    <row r="541" spans="1:9" ht="30.75">
      <c r="A541" s="14"/>
      <c r="B541" s="42" t="s">
        <v>323</v>
      </c>
      <c r="C541" s="29">
        <v>518000</v>
      </c>
      <c r="D541" s="29">
        <v>518000</v>
      </c>
      <c r="E541" s="29">
        <v>509616.18</v>
      </c>
      <c r="F541" s="138">
        <f>(E541/D541)*100</f>
        <v>98.38150193050193</v>
      </c>
      <c r="G541" s="29">
        <v>509616.18</v>
      </c>
      <c r="H541" s="29">
        <v>0</v>
      </c>
      <c r="I541" s="138">
        <f>(H541/G541)*100</f>
        <v>0</v>
      </c>
    </row>
    <row r="542" spans="1:9" ht="45.75">
      <c r="A542" s="14"/>
      <c r="B542" s="128" t="s">
        <v>341</v>
      </c>
      <c r="C542" s="67">
        <v>75000</v>
      </c>
      <c r="D542" s="67">
        <v>75000</v>
      </c>
      <c r="E542" s="67">
        <v>0</v>
      </c>
      <c r="F542" s="138">
        <f>(E542/D542)*100</f>
        <v>0</v>
      </c>
      <c r="G542" s="67">
        <v>26445</v>
      </c>
      <c r="H542" s="67">
        <v>70000</v>
      </c>
      <c r="I542" s="138">
        <f>(H542/G542)*100</f>
        <v>264.7003214218189</v>
      </c>
    </row>
    <row r="543" spans="1:9" ht="30.75">
      <c r="A543" s="14"/>
      <c r="B543" s="77" t="s">
        <v>324</v>
      </c>
      <c r="C543" s="67">
        <v>25000</v>
      </c>
      <c r="D543" s="67">
        <v>0</v>
      </c>
      <c r="E543" s="67">
        <v>0</v>
      </c>
      <c r="F543" s="138">
        <v>0</v>
      </c>
      <c r="G543" s="67">
        <v>0</v>
      </c>
      <c r="H543" s="67">
        <v>30000</v>
      </c>
      <c r="I543" s="138">
        <v>0</v>
      </c>
    </row>
    <row r="544" spans="1:9" ht="30.75">
      <c r="A544" s="14"/>
      <c r="B544" s="77" t="s">
        <v>342</v>
      </c>
      <c r="C544" s="67"/>
      <c r="D544" s="67">
        <v>8395</v>
      </c>
      <c r="E544" s="67">
        <v>0</v>
      </c>
      <c r="F544" s="144">
        <f>(E544/D544)*100</f>
        <v>0</v>
      </c>
      <c r="G544" s="67">
        <v>0</v>
      </c>
      <c r="H544" s="67">
        <v>50000</v>
      </c>
      <c r="I544" s="144">
        <v>0</v>
      </c>
    </row>
    <row r="545" spans="1:9" ht="30.75">
      <c r="A545" s="14"/>
      <c r="B545" s="77" t="s">
        <v>326</v>
      </c>
      <c r="C545" s="67"/>
      <c r="D545" s="67">
        <v>16605</v>
      </c>
      <c r="E545" s="67">
        <v>0</v>
      </c>
      <c r="F545" s="144">
        <f>(E545/D545)*100</f>
        <v>0</v>
      </c>
      <c r="G545" s="67">
        <v>16605</v>
      </c>
      <c r="H545" s="67">
        <v>0</v>
      </c>
      <c r="I545" s="144">
        <v>0</v>
      </c>
    </row>
    <row r="546" spans="1:9" ht="30.75">
      <c r="A546" s="39"/>
      <c r="B546" s="77" t="s">
        <v>327</v>
      </c>
      <c r="C546" s="67"/>
      <c r="D546" s="67">
        <v>0</v>
      </c>
      <c r="E546" s="67">
        <v>0</v>
      </c>
      <c r="F546" s="144">
        <v>0</v>
      </c>
      <c r="G546" s="67">
        <v>0</v>
      </c>
      <c r="H546" s="67">
        <v>15000</v>
      </c>
      <c r="I546" s="144">
        <v>0</v>
      </c>
    </row>
    <row r="547" spans="1:9" ht="15.75">
      <c r="A547" s="14"/>
      <c r="B547" s="14"/>
      <c r="C547" s="37"/>
      <c r="D547" s="37"/>
      <c r="E547" s="37"/>
      <c r="F547" s="37"/>
      <c r="G547" s="37"/>
      <c r="H547" s="37"/>
      <c r="I547" s="37"/>
    </row>
    <row r="548" spans="1:9" ht="15.75">
      <c r="A548" s="38">
        <v>90015</v>
      </c>
      <c r="B548" s="68" t="s">
        <v>67</v>
      </c>
      <c r="C548" s="25">
        <f>SUM(C550)</f>
        <v>1310000</v>
      </c>
      <c r="D548" s="25">
        <f>SUM(D550)</f>
        <v>1337000</v>
      </c>
      <c r="E548" s="25">
        <f>SUM(E550)</f>
        <v>885305.13</v>
      </c>
      <c r="F548" s="137">
        <f>(E548/D548)*100</f>
        <v>66.21579132385939</v>
      </c>
      <c r="G548" s="25">
        <f>SUM(G550)</f>
        <v>1337000</v>
      </c>
      <c r="H548" s="25">
        <f>SUM(H550)</f>
        <v>1270000</v>
      </c>
      <c r="I548" s="137">
        <f>(H548/G548)*100</f>
        <v>94.9887808526552</v>
      </c>
    </row>
    <row r="549" spans="1:9" ht="15.75">
      <c r="A549" s="14"/>
      <c r="B549" s="14"/>
      <c r="C549" s="26"/>
      <c r="D549" s="26"/>
      <c r="E549" s="26"/>
      <c r="F549" s="40"/>
      <c r="G549" s="26"/>
      <c r="H549" s="26"/>
      <c r="I549" s="40"/>
    </row>
    <row r="550" spans="1:9" ht="15.75">
      <c r="A550" s="14"/>
      <c r="B550" s="41" t="s">
        <v>133</v>
      </c>
      <c r="C550" s="32">
        <f>SUM(C552:C554)</f>
        <v>1310000</v>
      </c>
      <c r="D550" s="32">
        <f>SUM(D552:D554)</f>
        <v>1337000</v>
      </c>
      <c r="E550" s="32">
        <f>SUM(E552:E554)</f>
        <v>885305.13</v>
      </c>
      <c r="F550" s="140">
        <f>(E550/D550)*100</f>
        <v>66.21579132385939</v>
      </c>
      <c r="G550" s="32">
        <f>SUM(G552:G554)</f>
        <v>1337000</v>
      </c>
      <c r="H550" s="32">
        <f>SUM(H552:H554)</f>
        <v>1270000</v>
      </c>
      <c r="I550" s="140">
        <f>(H550/G550)*100</f>
        <v>94.9887808526552</v>
      </c>
    </row>
    <row r="551" spans="1:9" ht="15.75">
      <c r="A551" s="14"/>
      <c r="B551" s="41" t="s">
        <v>2</v>
      </c>
      <c r="C551" s="32"/>
      <c r="D551" s="32"/>
      <c r="E551" s="32"/>
      <c r="F551" s="32"/>
      <c r="G551" s="32"/>
      <c r="H551" s="32"/>
      <c r="I551" s="32"/>
    </row>
    <row r="552" spans="1:9" ht="15.75">
      <c r="A552" s="14"/>
      <c r="B552" s="41" t="s">
        <v>181</v>
      </c>
      <c r="C552" s="32">
        <v>670000</v>
      </c>
      <c r="D552" s="32">
        <v>670000</v>
      </c>
      <c r="E552" s="32">
        <v>416061.71</v>
      </c>
      <c r="F552" s="140">
        <f>(E552/D552)*100</f>
        <v>62.09876268656716</v>
      </c>
      <c r="G552" s="32">
        <v>670000</v>
      </c>
      <c r="H552" s="32">
        <v>570000</v>
      </c>
      <c r="I552" s="140">
        <f>(H552/G552)*100</f>
        <v>85.07462686567165</v>
      </c>
    </row>
    <row r="553" spans="1:9" ht="30.75">
      <c r="A553" s="14"/>
      <c r="B553" s="43" t="s">
        <v>165</v>
      </c>
      <c r="C553" s="32">
        <v>70000</v>
      </c>
      <c r="D553" s="32">
        <v>93000</v>
      </c>
      <c r="E553" s="32">
        <v>65952.03</v>
      </c>
      <c r="F553" s="140">
        <f>(E553/D553)*100</f>
        <v>70.91616129032258</v>
      </c>
      <c r="G553" s="32">
        <v>93000</v>
      </c>
      <c r="H553" s="32">
        <v>100000</v>
      </c>
      <c r="I553" s="140">
        <f>(H553/G553)*100</f>
        <v>107.5268817204301</v>
      </c>
    </row>
    <row r="554" spans="1:9" ht="30.75">
      <c r="A554" s="14"/>
      <c r="B554" s="42" t="s">
        <v>164</v>
      </c>
      <c r="C554" s="81">
        <v>570000</v>
      </c>
      <c r="D554" s="81">
        <v>574000</v>
      </c>
      <c r="E554" s="81">
        <v>403291.39</v>
      </c>
      <c r="F554" s="138">
        <f>(E554/D554)*100</f>
        <v>70.25982404181185</v>
      </c>
      <c r="G554" s="81">
        <v>574000</v>
      </c>
      <c r="H554" s="81">
        <v>600000</v>
      </c>
      <c r="I554" s="138">
        <f>(H554/G554)*100</f>
        <v>104.52961672473869</v>
      </c>
    </row>
    <row r="555" spans="1:9" ht="15.75">
      <c r="A555" s="14"/>
      <c r="B555" s="43"/>
      <c r="C555" s="44"/>
      <c r="D555" s="44"/>
      <c r="E555" s="44"/>
      <c r="F555" s="44"/>
      <c r="G555" s="44"/>
      <c r="H555" s="44"/>
      <c r="I555" s="44"/>
    </row>
    <row r="556" spans="1:9" ht="47.25">
      <c r="A556" s="39">
        <v>90019</v>
      </c>
      <c r="B556" s="83" t="s">
        <v>125</v>
      </c>
      <c r="C556" s="125">
        <f>SUM(C558:C559)</f>
        <v>397000</v>
      </c>
      <c r="D556" s="125">
        <f>SUM(D558:D559)</f>
        <v>399000</v>
      </c>
      <c r="E556" s="125">
        <f>SUM(E558:E559)</f>
        <v>272692.18</v>
      </c>
      <c r="F556" s="137">
        <f>(E556/D556)*100</f>
        <v>68.34390476190477</v>
      </c>
      <c r="G556" s="125">
        <f>SUM(G558:G559)</f>
        <v>385000</v>
      </c>
      <c r="H556" s="125">
        <f>SUM(H558:H559)</f>
        <v>387000</v>
      </c>
      <c r="I556" s="137">
        <f>(H556/G556)*100</f>
        <v>100.51948051948052</v>
      </c>
    </row>
    <row r="557" spans="1:9" ht="10.5" customHeight="1">
      <c r="A557" s="14"/>
      <c r="B557" s="43"/>
      <c r="C557" s="44"/>
      <c r="D557" s="44"/>
      <c r="E557" s="44"/>
      <c r="F557" s="44"/>
      <c r="G557" s="44"/>
      <c r="H557" s="44"/>
      <c r="I557" s="44"/>
    </row>
    <row r="558" spans="1:9" ht="30.75">
      <c r="A558" s="14"/>
      <c r="B558" s="42" t="s">
        <v>134</v>
      </c>
      <c r="C558" s="29">
        <v>350000</v>
      </c>
      <c r="D558" s="29">
        <v>350000</v>
      </c>
      <c r="E558" s="29">
        <v>261525.6</v>
      </c>
      <c r="F558" s="138">
        <f>(E558/D558)*100</f>
        <v>74.7216</v>
      </c>
      <c r="G558" s="29">
        <v>350000</v>
      </c>
      <c r="H558" s="29">
        <v>350000</v>
      </c>
      <c r="I558" s="138">
        <f>(H558/G558)*100</f>
        <v>100</v>
      </c>
    </row>
    <row r="559" spans="1:9" ht="60.75">
      <c r="A559" s="39"/>
      <c r="B559" s="42" t="s">
        <v>200</v>
      </c>
      <c r="C559" s="29">
        <v>47000</v>
      </c>
      <c r="D559" s="29">
        <v>49000</v>
      </c>
      <c r="E559" s="29">
        <v>11166.58</v>
      </c>
      <c r="F559" s="138">
        <f>(E559/D559)*100</f>
        <v>22.788938775510204</v>
      </c>
      <c r="G559" s="29">
        <v>35000</v>
      </c>
      <c r="H559" s="29">
        <f>47000-10000</f>
        <v>37000</v>
      </c>
      <c r="I559" s="138">
        <f>(H559/G559)*100</f>
        <v>105.71428571428572</v>
      </c>
    </row>
    <row r="560" spans="1:9" ht="16.5" thickBot="1">
      <c r="A560" s="30"/>
      <c r="B560" s="85"/>
      <c r="C560" s="70"/>
      <c r="D560" s="70"/>
      <c r="E560" s="70"/>
      <c r="F560" s="147"/>
      <c r="G560" s="70"/>
      <c r="H560" s="70"/>
      <c r="I560" s="147"/>
    </row>
    <row r="561" spans="1:9" ht="15.75">
      <c r="A561" s="2"/>
      <c r="B561" s="3"/>
      <c r="C561" s="4"/>
      <c r="D561" s="4"/>
      <c r="E561" s="4"/>
      <c r="F561" s="4"/>
      <c r="G561" s="4"/>
      <c r="H561" s="4"/>
      <c r="I561" s="4"/>
    </row>
    <row r="562" spans="1:9" ht="15.75">
      <c r="A562" s="5" t="s">
        <v>19</v>
      </c>
      <c r="B562" s="6" t="s">
        <v>0</v>
      </c>
      <c r="C562" s="7" t="s">
        <v>205</v>
      </c>
      <c r="D562" s="7" t="s">
        <v>205</v>
      </c>
      <c r="E562" s="7" t="s">
        <v>207</v>
      </c>
      <c r="F562" s="7" t="s">
        <v>208</v>
      </c>
      <c r="G562" s="7" t="s">
        <v>227</v>
      </c>
      <c r="H562" s="7" t="s">
        <v>228</v>
      </c>
      <c r="I562" s="7" t="s">
        <v>208</v>
      </c>
    </row>
    <row r="563" spans="1:9" ht="15.75">
      <c r="A563" s="5" t="s">
        <v>21</v>
      </c>
      <c r="B563" s="8"/>
      <c r="C563" s="7" t="s">
        <v>206</v>
      </c>
      <c r="D563" s="7" t="s">
        <v>226</v>
      </c>
      <c r="E563" s="7" t="s">
        <v>226</v>
      </c>
      <c r="F563" s="7" t="s">
        <v>209</v>
      </c>
      <c r="G563" s="7" t="s">
        <v>229</v>
      </c>
      <c r="H563" s="7" t="s">
        <v>231</v>
      </c>
      <c r="I563" s="7" t="s">
        <v>209</v>
      </c>
    </row>
    <row r="564" spans="1:9" ht="16.5" thickBot="1">
      <c r="A564" s="9"/>
      <c r="B564" s="10"/>
      <c r="C564" s="11" t="s">
        <v>186</v>
      </c>
      <c r="D564" s="11" t="s">
        <v>186</v>
      </c>
      <c r="E564" s="11" t="s">
        <v>186</v>
      </c>
      <c r="F564" s="11"/>
      <c r="G564" s="11" t="s">
        <v>230</v>
      </c>
      <c r="H564" s="11" t="s">
        <v>232</v>
      </c>
      <c r="I564" s="11"/>
    </row>
    <row r="565" spans="1:9" ht="15.75">
      <c r="A565" s="14"/>
      <c r="B565" s="14"/>
      <c r="C565" s="37"/>
      <c r="D565" s="37"/>
      <c r="E565" s="37"/>
      <c r="F565" s="37"/>
      <c r="G565" s="37"/>
      <c r="H565" s="37"/>
      <c r="I565" s="37"/>
    </row>
    <row r="566" spans="1:9" ht="15.75">
      <c r="A566" s="38">
        <v>90095</v>
      </c>
      <c r="B566" s="39" t="s">
        <v>23</v>
      </c>
      <c r="C566" s="25">
        <f>SUM(C568:C570,C571)</f>
        <v>246000</v>
      </c>
      <c r="D566" s="25">
        <f>SUM(D568:D570,D571)</f>
        <v>246000</v>
      </c>
      <c r="E566" s="25">
        <f>SUM(E568:E570,E571)</f>
        <v>108662.66</v>
      </c>
      <c r="F566" s="137">
        <f>(E566/D566)*100</f>
        <v>44.17181300813009</v>
      </c>
      <c r="G566" s="25">
        <f>SUM(G568:G570,G571)</f>
        <v>235800</v>
      </c>
      <c r="H566" s="25">
        <f>SUM(H568:H570,H571)</f>
        <v>221000</v>
      </c>
      <c r="I566" s="137">
        <f>(H566/G566)*100</f>
        <v>93.72349448685327</v>
      </c>
    </row>
    <row r="567" spans="1:9" ht="8.25" customHeight="1">
      <c r="A567" s="14"/>
      <c r="B567" s="14"/>
      <c r="C567" s="37"/>
      <c r="D567" s="37"/>
      <c r="E567" s="37"/>
      <c r="F567" s="37"/>
      <c r="G567" s="37"/>
      <c r="H567" s="37"/>
      <c r="I567" s="37"/>
    </row>
    <row r="568" spans="1:9" ht="30.75">
      <c r="A568" s="14"/>
      <c r="B568" s="42" t="s">
        <v>166</v>
      </c>
      <c r="C568" s="29">
        <v>65000</v>
      </c>
      <c r="D568" s="29">
        <v>65000</v>
      </c>
      <c r="E568" s="29">
        <v>10455</v>
      </c>
      <c r="F568" s="138">
        <f>(E568/D568)*100</f>
        <v>16.084615384615383</v>
      </c>
      <c r="G568" s="29">
        <v>65000</v>
      </c>
      <c r="H568" s="29">
        <v>65000</v>
      </c>
      <c r="I568" s="138">
        <f>(H568/G568)*100</f>
        <v>100</v>
      </c>
    </row>
    <row r="569" spans="1:9" ht="30.75">
      <c r="A569" s="14"/>
      <c r="B569" s="42" t="s">
        <v>167</v>
      </c>
      <c r="C569" s="29">
        <v>1000</v>
      </c>
      <c r="D569" s="29">
        <v>1000</v>
      </c>
      <c r="E569" s="29">
        <v>0</v>
      </c>
      <c r="F569" s="138">
        <f>(E569/D569)*100</f>
        <v>0</v>
      </c>
      <c r="G569" s="29">
        <v>1000</v>
      </c>
      <c r="H569" s="29">
        <v>1000</v>
      </c>
      <c r="I569" s="138">
        <f>(H569/G569)*100</f>
        <v>100</v>
      </c>
    </row>
    <row r="570" spans="1:9" ht="45.75">
      <c r="A570" s="14"/>
      <c r="B570" s="42" t="s">
        <v>99</v>
      </c>
      <c r="C570" s="29">
        <v>130000</v>
      </c>
      <c r="D570" s="29">
        <v>130000</v>
      </c>
      <c r="E570" s="29">
        <v>92607.66</v>
      </c>
      <c r="F570" s="138">
        <f>(E570/D570)*100</f>
        <v>71.23666153846155</v>
      </c>
      <c r="G570" s="29">
        <v>130000</v>
      </c>
      <c r="H570" s="29">
        <v>135000</v>
      </c>
      <c r="I570" s="138">
        <f>(H570/G570)*100</f>
        <v>103.84615384615385</v>
      </c>
    </row>
    <row r="571" spans="1:9" ht="15.75">
      <c r="A571" s="14"/>
      <c r="B571" s="58" t="s">
        <v>103</v>
      </c>
      <c r="C571" s="26">
        <f>SUM(C573:C573)</f>
        <v>50000</v>
      </c>
      <c r="D571" s="26">
        <f>SUM(D573:D574)</f>
        <v>50000</v>
      </c>
      <c r="E571" s="26">
        <f>SUM(E573:E574)</f>
        <v>5600</v>
      </c>
      <c r="F571" s="141">
        <f>(E571/D571)*100</f>
        <v>11.200000000000001</v>
      </c>
      <c r="G571" s="26">
        <f>SUM(G573:G574)</f>
        <v>39800</v>
      </c>
      <c r="H571" s="26">
        <f>SUM(H573:H574)</f>
        <v>20000</v>
      </c>
      <c r="I571" s="141">
        <f>(H571/G571)*100</f>
        <v>50.25125628140703</v>
      </c>
    </row>
    <row r="572" spans="1:9" ht="15.75">
      <c r="A572" s="14"/>
      <c r="B572" s="58" t="s">
        <v>2</v>
      </c>
      <c r="C572" s="26"/>
      <c r="D572" s="26"/>
      <c r="E572" s="26"/>
      <c r="F572" s="26"/>
      <c r="G572" s="26"/>
      <c r="H572" s="26"/>
      <c r="I572" s="26"/>
    </row>
    <row r="573" spans="1:9" ht="30.75">
      <c r="A573" s="14"/>
      <c r="B573" s="42" t="s">
        <v>328</v>
      </c>
      <c r="C573" s="29">
        <v>50000</v>
      </c>
      <c r="D573" s="29">
        <v>50000</v>
      </c>
      <c r="E573" s="29">
        <v>5600</v>
      </c>
      <c r="F573" s="138">
        <f>(E573/D573)*100</f>
        <v>11.200000000000001</v>
      </c>
      <c r="G573" s="29">
        <v>39800</v>
      </c>
      <c r="H573" s="29">
        <v>0</v>
      </c>
      <c r="I573" s="138">
        <f>(H573/G573)*100</f>
        <v>0</v>
      </c>
    </row>
    <row r="574" spans="1:9" ht="45.75">
      <c r="A574" s="39"/>
      <c r="B574" s="85" t="s">
        <v>329</v>
      </c>
      <c r="C574" s="44"/>
      <c r="D574" s="44">
        <v>0</v>
      </c>
      <c r="E574" s="44">
        <v>0</v>
      </c>
      <c r="F574" s="140">
        <v>0</v>
      </c>
      <c r="G574" s="44">
        <v>0</v>
      </c>
      <c r="H574" s="44">
        <v>20000</v>
      </c>
      <c r="I574" s="140">
        <v>0</v>
      </c>
    </row>
    <row r="575" spans="1:9" ht="12.75" customHeight="1">
      <c r="A575" s="31"/>
      <c r="B575" s="109"/>
      <c r="C575" s="33"/>
      <c r="D575" s="33"/>
      <c r="E575" s="33"/>
      <c r="F575" s="33"/>
      <c r="G575" s="33"/>
      <c r="H575" s="33"/>
      <c r="I575" s="33"/>
    </row>
    <row r="576" spans="1:9" ht="32.25" thickBot="1">
      <c r="A576" s="34">
        <v>921</v>
      </c>
      <c r="B576" s="99" t="s">
        <v>68</v>
      </c>
      <c r="C576" s="36">
        <f>SUM(C578,C592,C597,C602)</f>
        <v>2898267</v>
      </c>
      <c r="D576" s="36">
        <f>SUM(D578,D592,D597,D602)</f>
        <v>2928267</v>
      </c>
      <c r="E576" s="36">
        <f>SUM(E578,E592,E597,E602)</f>
        <v>2303324</v>
      </c>
      <c r="F576" s="19">
        <f>(E576/D576)*100</f>
        <v>78.65826442739</v>
      </c>
      <c r="G576" s="36">
        <f>SUM(G578,G592,G597,G602)</f>
        <v>2926767</v>
      </c>
      <c r="H576" s="36">
        <f>SUM(H578,H592,H597,H602)</f>
        <v>3330097</v>
      </c>
      <c r="I576" s="19">
        <f>(H576/G576)*100</f>
        <v>113.78073485180064</v>
      </c>
    </row>
    <row r="577" spans="1:9" ht="12.75" customHeight="1" thickTop="1">
      <c r="A577" s="14"/>
      <c r="B577" s="30"/>
      <c r="C577" s="26"/>
      <c r="D577" s="26"/>
      <c r="E577" s="26"/>
      <c r="F577" s="26"/>
      <c r="G577" s="26"/>
      <c r="H577" s="26"/>
      <c r="I577" s="26"/>
    </row>
    <row r="578" spans="1:9" ht="15.75">
      <c r="A578" s="38">
        <v>92109</v>
      </c>
      <c r="B578" s="86" t="s">
        <v>69</v>
      </c>
      <c r="C578" s="25">
        <f>SUM(C580,C587,C588)</f>
        <v>1671103</v>
      </c>
      <c r="D578" s="25">
        <f>SUM(D580,D587,D588)</f>
        <v>1701103</v>
      </c>
      <c r="E578" s="25">
        <f>SUM(E580,E587,E588)</f>
        <v>1379901</v>
      </c>
      <c r="F578" s="137">
        <f>(E578/D578)*100</f>
        <v>81.11801578152527</v>
      </c>
      <c r="G578" s="25">
        <f>SUM(G580,G587,G588)</f>
        <v>1701103</v>
      </c>
      <c r="H578" s="25">
        <f>SUM(H580,H587,H588)</f>
        <v>1742305</v>
      </c>
      <c r="I578" s="137">
        <f>(H578/G578)*100</f>
        <v>102.4220755592107</v>
      </c>
    </row>
    <row r="579" spans="1:9" ht="12.75" customHeight="1">
      <c r="A579" s="14"/>
      <c r="B579" s="30"/>
      <c r="C579" s="40"/>
      <c r="D579" s="40"/>
      <c r="E579" s="40"/>
      <c r="F579" s="40"/>
      <c r="G579" s="40"/>
      <c r="H579" s="40"/>
      <c r="I579" s="40"/>
    </row>
    <row r="580" spans="1:9" ht="15.75">
      <c r="A580" s="14"/>
      <c r="B580" s="57" t="s">
        <v>135</v>
      </c>
      <c r="C580" s="29">
        <f>2222103-50000-472000-90000</f>
        <v>1610103</v>
      </c>
      <c r="D580" s="29">
        <f>2222103-50000-472000-90000+30000</f>
        <v>1640103</v>
      </c>
      <c r="E580" s="29">
        <v>1321774.21</v>
      </c>
      <c r="F580" s="138">
        <f>(E580/D580)*100</f>
        <v>80.59092691129764</v>
      </c>
      <c r="G580" s="29">
        <v>1640103</v>
      </c>
      <c r="H580" s="29">
        <f>1676305-10000</f>
        <v>1666305</v>
      </c>
      <c r="I580" s="138">
        <f>(H580/G580)*100</f>
        <v>101.59758259084948</v>
      </c>
    </row>
    <row r="581" spans="1:9" ht="15.75">
      <c r="A581" s="14"/>
      <c r="B581" s="56" t="s">
        <v>93</v>
      </c>
      <c r="C581" s="44"/>
      <c r="D581" s="44"/>
      <c r="E581" s="44"/>
      <c r="F581" s="44"/>
      <c r="G581" s="44"/>
      <c r="H581" s="44"/>
      <c r="I581" s="44"/>
    </row>
    <row r="582" spans="1:9" ht="30.75">
      <c r="A582" s="14"/>
      <c r="B582" s="53" t="s">
        <v>136</v>
      </c>
      <c r="C582" s="44">
        <f>150000-20000</f>
        <v>130000</v>
      </c>
      <c r="D582" s="44">
        <f>150000-20000</f>
        <v>130000</v>
      </c>
      <c r="E582" s="44">
        <f>150000-20000</f>
        <v>130000</v>
      </c>
      <c r="F582" s="140">
        <f aca="true" t="shared" si="12" ref="F582:F588">(E582/D582)*100</f>
        <v>100</v>
      </c>
      <c r="G582" s="44">
        <f>150000-20000</f>
        <v>130000</v>
      </c>
      <c r="H582" s="44">
        <f>150000-20000</f>
        <v>130000</v>
      </c>
      <c r="I582" s="140">
        <f aca="true" t="shared" si="13" ref="I582:I588">(H582/G582)*100</f>
        <v>100</v>
      </c>
    </row>
    <row r="583" spans="1:9" ht="15.75" customHeight="1">
      <c r="A583" s="14"/>
      <c r="B583" s="53" t="s">
        <v>137</v>
      </c>
      <c r="C583" s="44">
        <v>103000</v>
      </c>
      <c r="D583" s="44">
        <v>103000</v>
      </c>
      <c r="E583" s="44">
        <v>103000</v>
      </c>
      <c r="F583" s="140">
        <f t="shared" si="12"/>
        <v>100</v>
      </c>
      <c r="G583" s="44">
        <v>103000</v>
      </c>
      <c r="H583" s="44">
        <v>103000</v>
      </c>
      <c r="I583" s="140">
        <f t="shared" si="13"/>
        <v>100</v>
      </c>
    </row>
    <row r="584" spans="1:9" ht="30.75">
      <c r="A584" s="14"/>
      <c r="B584" s="53" t="s">
        <v>185</v>
      </c>
      <c r="C584" s="44">
        <f>85000-55000</f>
        <v>30000</v>
      </c>
      <c r="D584" s="44">
        <v>30000</v>
      </c>
      <c r="E584" s="44">
        <v>30000</v>
      </c>
      <c r="F584" s="140">
        <f t="shared" si="12"/>
        <v>100</v>
      </c>
      <c r="G584" s="44">
        <v>30000</v>
      </c>
      <c r="H584" s="44">
        <v>30000</v>
      </c>
      <c r="I584" s="140">
        <f t="shared" si="13"/>
        <v>100</v>
      </c>
    </row>
    <row r="585" spans="1:9" ht="15.75">
      <c r="A585" s="14"/>
      <c r="B585" s="53" t="s">
        <v>221</v>
      </c>
      <c r="C585" s="44">
        <v>0</v>
      </c>
      <c r="D585" s="44">
        <v>30000</v>
      </c>
      <c r="E585" s="44">
        <v>30000</v>
      </c>
      <c r="F585" s="140">
        <f t="shared" si="12"/>
        <v>100</v>
      </c>
      <c r="G585" s="44">
        <v>30000</v>
      </c>
      <c r="H585" s="44">
        <v>0</v>
      </c>
      <c r="I585" s="140">
        <f t="shared" si="13"/>
        <v>0</v>
      </c>
    </row>
    <row r="586" spans="1:9" ht="15.75">
      <c r="A586" s="14"/>
      <c r="B586" s="53" t="s">
        <v>138</v>
      </c>
      <c r="C586" s="44">
        <v>120000</v>
      </c>
      <c r="D586" s="44">
        <v>120000</v>
      </c>
      <c r="E586" s="44">
        <v>120000</v>
      </c>
      <c r="F586" s="138">
        <f t="shared" si="12"/>
        <v>100</v>
      </c>
      <c r="G586" s="44">
        <v>120000</v>
      </c>
      <c r="H586" s="44">
        <v>127000</v>
      </c>
      <c r="I586" s="138">
        <f t="shared" si="13"/>
        <v>105.83333333333333</v>
      </c>
    </row>
    <row r="587" spans="1:9" ht="30.75">
      <c r="A587" s="14"/>
      <c r="B587" s="95" t="s">
        <v>168</v>
      </c>
      <c r="C587" s="67">
        <f>80000-30000</f>
        <v>50000</v>
      </c>
      <c r="D587" s="67">
        <f>80000-30000</f>
        <v>50000</v>
      </c>
      <c r="E587" s="67">
        <v>47126.79</v>
      </c>
      <c r="F587" s="138">
        <f t="shared" si="12"/>
        <v>94.25358</v>
      </c>
      <c r="G587" s="67">
        <v>50000</v>
      </c>
      <c r="H587" s="67">
        <v>50000</v>
      </c>
      <c r="I587" s="138">
        <f t="shared" si="13"/>
        <v>100</v>
      </c>
    </row>
    <row r="588" spans="1:9" ht="15.75">
      <c r="A588" s="14"/>
      <c r="B588" s="58" t="s">
        <v>103</v>
      </c>
      <c r="C588" s="26">
        <f>SUM(C590)</f>
        <v>11000</v>
      </c>
      <c r="D588" s="26">
        <f>SUM(D590)</f>
        <v>11000</v>
      </c>
      <c r="E588" s="26">
        <f>SUM(E590)</f>
        <v>11000</v>
      </c>
      <c r="F588" s="141">
        <f t="shared" si="12"/>
        <v>100</v>
      </c>
      <c r="G588" s="26">
        <f>SUM(G590)</f>
        <v>11000</v>
      </c>
      <c r="H588" s="26">
        <f>SUM(H590)</f>
        <v>26000</v>
      </c>
      <c r="I588" s="141">
        <f t="shared" si="13"/>
        <v>236.36363636363637</v>
      </c>
    </row>
    <row r="589" spans="1:9" ht="15.75">
      <c r="A589" s="14"/>
      <c r="B589" s="58" t="s">
        <v>2</v>
      </c>
      <c r="C589" s="26"/>
      <c r="D589" s="26"/>
      <c r="E589" s="26"/>
      <c r="F589" s="26"/>
      <c r="G589" s="26"/>
      <c r="H589" s="26"/>
      <c r="I589" s="26"/>
    </row>
    <row r="590" spans="1:9" ht="15.75">
      <c r="A590" s="14"/>
      <c r="B590" s="112" t="s">
        <v>201</v>
      </c>
      <c r="C590" s="29">
        <f>41000-30000</f>
        <v>11000</v>
      </c>
      <c r="D590" s="29">
        <f>41000-30000</f>
        <v>11000</v>
      </c>
      <c r="E590" s="29">
        <f>41000-30000</f>
        <v>11000</v>
      </c>
      <c r="F590" s="138">
        <f>(E590/D590)*100</f>
        <v>100</v>
      </c>
      <c r="G590" s="29">
        <f>41000-30000</f>
        <v>11000</v>
      </c>
      <c r="H590" s="29">
        <v>26000</v>
      </c>
      <c r="I590" s="138">
        <f>(H590/G590)*100</f>
        <v>236.36363636363637</v>
      </c>
    </row>
    <row r="591" spans="1:9" ht="12.75" customHeight="1">
      <c r="A591" s="31"/>
      <c r="B591" s="109"/>
      <c r="C591" s="33"/>
      <c r="D591" s="33"/>
      <c r="E591" s="33"/>
      <c r="F591" s="33"/>
      <c r="G591" s="33"/>
      <c r="H591" s="33"/>
      <c r="I591" s="33"/>
    </row>
    <row r="592" spans="1:9" ht="15.75">
      <c r="A592" s="38">
        <v>92116</v>
      </c>
      <c r="B592" s="49" t="s">
        <v>70</v>
      </c>
      <c r="C592" s="25">
        <f>SUM(C594:C594,)</f>
        <v>1158600</v>
      </c>
      <c r="D592" s="25">
        <f>SUM(D594:D594,)</f>
        <v>1158600</v>
      </c>
      <c r="E592" s="25">
        <f>SUM(E594:E594,)</f>
        <v>870500</v>
      </c>
      <c r="F592" s="137">
        <f>(E592/D592)*100</f>
        <v>75.13378215087174</v>
      </c>
      <c r="G592" s="25">
        <f>SUM(G594:G594,)</f>
        <v>1158600</v>
      </c>
      <c r="H592" s="25">
        <f>SUM(H594:H594,)</f>
        <v>1165000</v>
      </c>
      <c r="I592" s="137">
        <f>(H592/G592)*100</f>
        <v>100.55239081650267</v>
      </c>
    </row>
    <row r="593" spans="1:9" ht="15.75">
      <c r="A593" s="14"/>
      <c r="B593" s="30"/>
      <c r="C593" s="33"/>
      <c r="D593" s="33"/>
      <c r="E593" s="33"/>
      <c r="F593" s="33"/>
      <c r="G593" s="33"/>
      <c r="H593" s="33"/>
      <c r="I593" s="33"/>
    </row>
    <row r="594" spans="1:9" ht="15.75">
      <c r="A594" s="14"/>
      <c r="B594" s="110" t="s">
        <v>139</v>
      </c>
      <c r="C594" s="29">
        <f>1258600-100000</f>
        <v>1158600</v>
      </c>
      <c r="D594" s="29">
        <f>1258600-100000</f>
        <v>1158600</v>
      </c>
      <c r="E594" s="29">
        <v>870500</v>
      </c>
      <c r="F594" s="138">
        <f>(E594/D594)*100</f>
        <v>75.13378215087174</v>
      </c>
      <c r="G594" s="29">
        <v>1158600</v>
      </c>
      <c r="H594" s="29">
        <f>1200000-35000</f>
        <v>1165000</v>
      </c>
      <c r="I594" s="138">
        <f>(H594/G594)*100</f>
        <v>100.55239081650267</v>
      </c>
    </row>
    <row r="595" spans="1:9" ht="15.75" hidden="1">
      <c r="A595" s="14"/>
      <c r="B595" s="107" t="s">
        <v>118</v>
      </c>
      <c r="C595" s="44">
        <v>0</v>
      </c>
      <c r="D595" s="44">
        <v>0</v>
      </c>
      <c r="E595" s="44">
        <v>0</v>
      </c>
      <c r="F595" s="44">
        <v>0</v>
      </c>
      <c r="G595" s="44">
        <v>0</v>
      </c>
      <c r="H595" s="44">
        <v>0</v>
      </c>
      <c r="I595" s="44">
        <v>0</v>
      </c>
    </row>
    <row r="596" spans="1:9" ht="12.75" customHeight="1">
      <c r="A596" s="14"/>
      <c r="B596" s="76"/>
      <c r="C596" s="33"/>
      <c r="D596" s="33"/>
      <c r="E596" s="33"/>
      <c r="F596" s="33"/>
      <c r="G596" s="33"/>
      <c r="H596" s="33"/>
      <c r="I596" s="33"/>
    </row>
    <row r="597" spans="1:9" ht="15.75">
      <c r="A597" s="38">
        <v>92120</v>
      </c>
      <c r="B597" s="111" t="s">
        <v>95</v>
      </c>
      <c r="C597" s="25">
        <f>SUM(C599:C599)</f>
        <v>8564</v>
      </c>
      <c r="D597" s="25">
        <f>SUM(D599:D600)</f>
        <v>8564</v>
      </c>
      <c r="E597" s="25">
        <f>SUM(E599:E600)</f>
        <v>6423</v>
      </c>
      <c r="F597" s="137">
        <f>(E597/D597)*100</f>
        <v>75</v>
      </c>
      <c r="G597" s="25">
        <f>SUM(G599:G600)</f>
        <v>8564</v>
      </c>
      <c r="H597" s="25">
        <f>SUM(H599:H600)</f>
        <v>32792</v>
      </c>
      <c r="I597" s="137">
        <f>(H597/G597)*100</f>
        <v>382.90518449322747</v>
      </c>
    </row>
    <row r="598" spans="1:9" ht="15.75">
      <c r="A598" s="14"/>
      <c r="B598" s="76"/>
      <c r="C598" s="37"/>
      <c r="D598" s="37"/>
      <c r="E598" s="37"/>
      <c r="F598" s="37"/>
      <c r="G598" s="37"/>
      <c r="H598" s="37"/>
      <c r="I598" s="37"/>
    </row>
    <row r="599" spans="1:9" ht="45.75">
      <c r="A599" s="14"/>
      <c r="B599" s="112" t="s">
        <v>202</v>
      </c>
      <c r="C599" s="29">
        <v>8564</v>
      </c>
      <c r="D599" s="29">
        <v>8564</v>
      </c>
      <c r="E599" s="29">
        <v>6423</v>
      </c>
      <c r="F599" s="138">
        <f>(E599/D599)*100</f>
        <v>75</v>
      </c>
      <c r="G599" s="29">
        <v>8564</v>
      </c>
      <c r="H599" s="29">
        <v>7792</v>
      </c>
      <c r="I599" s="138">
        <f>(H599/G599)*100</f>
        <v>90.98552078468005</v>
      </c>
    </row>
    <row r="600" spans="1:9" ht="30.75">
      <c r="A600" s="14"/>
      <c r="B600" s="95" t="s">
        <v>337</v>
      </c>
      <c r="C600" s="67"/>
      <c r="D600" s="67">
        <v>0</v>
      </c>
      <c r="E600" s="67">
        <v>0</v>
      </c>
      <c r="F600" s="144">
        <v>0</v>
      </c>
      <c r="G600" s="67">
        <v>0</v>
      </c>
      <c r="H600" s="67">
        <v>25000</v>
      </c>
      <c r="I600" s="144">
        <v>0</v>
      </c>
    </row>
    <row r="601" spans="1:9" ht="12.75" customHeight="1">
      <c r="A601" s="14"/>
      <c r="B601" s="76"/>
      <c r="C601" s="26"/>
      <c r="D601" s="26"/>
      <c r="E601" s="26"/>
      <c r="F601" s="26"/>
      <c r="G601" s="26"/>
      <c r="H601" s="26"/>
      <c r="I601" s="26"/>
    </row>
    <row r="602" spans="1:9" ht="15.75">
      <c r="A602" s="38">
        <v>92195</v>
      </c>
      <c r="B602" s="113" t="s">
        <v>23</v>
      </c>
      <c r="C602" s="25">
        <f>SUM(C604:C605)</f>
        <v>60000</v>
      </c>
      <c r="D602" s="25">
        <f>SUM(D604:D605,D606)</f>
        <v>60000</v>
      </c>
      <c r="E602" s="25">
        <f>SUM(E604:E605,E606)</f>
        <v>46500</v>
      </c>
      <c r="F602" s="137">
        <f>(E602/D602)*100</f>
        <v>77.5</v>
      </c>
      <c r="G602" s="25">
        <f>SUM(G604:G605,G606)</f>
        <v>58500</v>
      </c>
      <c r="H602" s="25">
        <f>SUM(H604:H605,H606)</f>
        <v>390000</v>
      </c>
      <c r="I602" s="137">
        <f>(H602/G602)*100</f>
        <v>666.6666666666667</v>
      </c>
    </row>
    <row r="603" spans="1:9" ht="12.75" customHeight="1">
      <c r="A603" s="14"/>
      <c r="B603" s="88"/>
      <c r="C603" s="40"/>
      <c r="D603" s="40"/>
      <c r="E603" s="40"/>
      <c r="F603" s="40"/>
      <c r="G603" s="40"/>
      <c r="H603" s="40"/>
      <c r="I603" s="40"/>
    </row>
    <row r="604" spans="1:9" ht="30.75" customHeight="1">
      <c r="A604" s="14"/>
      <c r="B604" s="52" t="s">
        <v>343</v>
      </c>
      <c r="C604" s="29">
        <v>50000</v>
      </c>
      <c r="D604" s="29">
        <v>50000</v>
      </c>
      <c r="E604" s="29">
        <v>46500</v>
      </c>
      <c r="F604" s="138">
        <f>(E604/D604)*100</f>
        <v>93</v>
      </c>
      <c r="G604" s="29">
        <v>48500</v>
      </c>
      <c r="H604" s="29">
        <f>50000+30000</f>
        <v>80000</v>
      </c>
      <c r="I604" s="138">
        <f>(H604/G604)*100</f>
        <v>164.9484536082474</v>
      </c>
    </row>
    <row r="605" spans="1:9" ht="30.75">
      <c r="A605" s="14"/>
      <c r="B605" s="112" t="s">
        <v>330</v>
      </c>
      <c r="C605" s="29">
        <v>10000</v>
      </c>
      <c r="D605" s="29">
        <v>10000</v>
      </c>
      <c r="E605" s="29">
        <v>0</v>
      </c>
      <c r="F605" s="138">
        <f>(E605/D605)*100</f>
        <v>0</v>
      </c>
      <c r="G605" s="29">
        <v>10000</v>
      </c>
      <c r="H605" s="29">
        <v>10000</v>
      </c>
      <c r="I605" s="138">
        <f>(H605/G605)*100</f>
        <v>100</v>
      </c>
    </row>
    <row r="606" spans="1:9" ht="15.75">
      <c r="A606" s="14"/>
      <c r="B606" s="58" t="s">
        <v>103</v>
      </c>
      <c r="C606" s="26">
        <f>SUM(C608)</f>
        <v>11000</v>
      </c>
      <c r="D606" s="26">
        <f>SUM(D608)</f>
        <v>0</v>
      </c>
      <c r="E606" s="26">
        <f>SUM(E608)</f>
        <v>0</v>
      </c>
      <c r="F606" s="141">
        <v>0</v>
      </c>
      <c r="G606" s="26">
        <f>SUM(G608)</f>
        <v>0</v>
      </c>
      <c r="H606" s="26">
        <f>SUM(H608)</f>
        <v>300000</v>
      </c>
      <c r="I606" s="141">
        <v>0</v>
      </c>
    </row>
    <row r="607" spans="1:9" ht="15.75">
      <c r="A607" s="14"/>
      <c r="B607" s="58" t="s">
        <v>2</v>
      </c>
      <c r="C607" s="26"/>
      <c r="D607" s="26"/>
      <c r="E607" s="26"/>
      <c r="F607" s="26"/>
      <c r="G607" s="26"/>
      <c r="H607" s="37"/>
      <c r="I607" s="26"/>
    </row>
    <row r="608" spans="1:9" ht="30.75">
      <c r="A608" s="39"/>
      <c r="B608" s="112" t="s">
        <v>344</v>
      </c>
      <c r="C608" s="29">
        <f>41000-30000</f>
        <v>11000</v>
      </c>
      <c r="D608" s="29">
        <v>0</v>
      </c>
      <c r="E608" s="29">
        <v>0</v>
      </c>
      <c r="F608" s="138">
        <v>0</v>
      </c>
      <c r="G608" s="29">
        <v>0</v>
      </c>
      <c r="H608" s="29">
        <v>300000</v>
      </c>
      <c r="I608" s="138">
        <v>0</v>
      </c>
    </row>
    <row r="609" spans="1:9" ht="12.75" customHeight="1">
      <c r="A609" s="31"/>
      <c r="B609" s="109"/>
      <c r="C609" s="33"/>
      <c r="D609" s="33"/>
      <c r="E609" s="33"/>
      <c r="F609" s="33"/>
      <c r="G609" s="33"/>
      <c r="H609" s="33"/>
      <c r="I609" s="33"/>
    </row>
    <row r="610" spans="1:9" ht="16.5" thickBot="1">
      <c r="A610" s="34">
        <v>926</v>
      </c>
      <c r="B610" s="114" t="s">
        <v>122</v>
      </c>
      <c r="C610" s="36">
        <f>SUM(C612,C624)</f>
        <v>3613621</v>
      </c>
      <c r="D610" s="36">
        <f>SUM(D612,D624)</f>
        <v>4151621</v>
      </c>
      <c r="E610" s="36">
        <f>SUM(E612,E624)</f>
        <v>2551147.41</v>
      </c>
      <c r="F610" s="19">
        <f>(E610/D610)*100</f>
        <v>61.44942927112085</v>
      </c>
      <c r="G610" s="36">
        <f>SUM(G612,G624)</f>
        <v>4150621</v>
      </c>
      <c r="H610" s="36">
        <f>SUM(H612,H624)</f>
        <v>3598830</v>
      </c>
      <c r="I610" s="19">
        <f>(H610/G610)*100</f>
        <v>86.70582064707908</v>
      </c>
    </row>
    <row r="611" spans="1:9" ht="12.75" customHeight="1" thickTop="1">
      <c r="A611" s="14"/>
      <c r="B611" s="30"/>
      <c r="C611" s="37"/>
      <c r="D611" s="37"/>
      <c r="E611" s="37"/>
      <c r="F611" s="37"/>
      <c r="G611" s="37"/>
      <c r="H611" s="37"/>
      <c r="I611" s="37"/>
    </row>
    <row r="612" spans="1:9" ht="15.75">
      <c r="A612" s="38">
        <v>92601</v>
      </c>
      <c r="B612" s="49" t="s">
        <v>71</v>
      </c>
      <c r="C612" s="25">
        <f>SUM(C614,C620)</f>
        <v>3146621</v>
      </c>
      <c r="D612" s="25">
        <f>SUM(D614,D620)</f>
        <v>3684621</v>
      </c>
      <c r="E612" s="25">
        <f>SUM(E614,E620)</f>
        <v>2175332.15</v>
      </c>
      <c r="F612" s="137">
        <f>(E612/D612)*100</f>
        <v>59.038152092169035</v>
      </c>
      <c r="G612" s="25">
        <f>SUM(G614,G620)</f>
        <v>3684621</v>
      </c>
      <c r="H612" s="25">
        <f>SUM(H614,H620)</f>
        <v>3148830</v>
      </c>
      <c r="I612" s="137">
        <f>(H612/G612)*100</f>
        <v>85.45872153472502</v>
      </c>
    </row>
    <row r="613" spans="1:9" ht="15.75">
      <c r="A613" s="31"/>
      <c r="B613" s="115"/>
      <c r="C613" s="40"/>
      <c r="D613" s="40"/>
      <c r="E613" s="40"/>
      <c r="F613" s="40"/>
      <c r="G613" s="40"/>
      <c r="H613" s="40"/>
      <c r="I613" s="40"/>
    </row>
    <row r="614" spans="1:9" ht="15.75">
      <c r="A614" s="14"/>
      <c r="B614" s="101" t="s">
        <v>90</v>
      </c>
      <c r="C614" s="26">
        <f>SUM(C617:C618)</f>
        <v>3146621</v>
      </c>
      <c r="D614" s="26">
        <f>SUM(D617:D618)</f>
        <v>3634621</v>
      </c>
      <c r="E614" s="26">
        <f>SUM(E617:E618)</f>
        <v>2147890.86</v>
      </c>
      <c r="F614" s="142">
        <f>(E614/D614)*100</f>
        <v>59.09531860405802</v>
      </c>
      <c r="G614" s="26">
        <f>SUM(G617:G618)</f>
        <v>3634621</v>
      </c>
      <c r="H614" s="26">
        <f>SUM(H617:H618)</f>
        <v>3148830</v>
      </c>
      <c r="I614" s="142">
        <f>(H614/G614)*100</f>
        <v>86.63434234270917</v>
      </c>
    </row>
    <row r="615" spans="1:9" ht="31.5">
      <c r="A615" s="14"/>
      <c r="B615" s="101" t="s">
        <v>124</v>
      </c>
      <c r="C615" s="26"/>
      <c r="D615" s="26"/>
      <c r="E615" s="26"/>
      <c r="F615" s="26"/>
      <c r="G615" s="26"/>
      <c r="H615" s="26"/>
      <c r="I615" s="26"/>
    </row>
    <row r="616" spans="1:9" ht="15.75">
      <c r="A616" s="14"/>
      <c r="B616" s="85" t="s">
        <v>2</v>
      </c>
      <c r="C616" s="26"/>
      <c r="D616" s="26"/>
      <c r="E616" s="26"/>
      <c r="F616" s="26"/>
      <c r="G616" s="26"/>
      <c r="H616" s="26"/>
      <c r="I616" s="26"/>
    </row>
    <row r="617" spans="1:9" ht="15.75">
      <c r="A617" s="58"/>
      <c r="B617" s="85" t="s">
        <v>82</v>
      </c>
      <c r="C617" s="44">
        <v>1051136</v>
      </c>
      <c r="D617" s="44">
        <v>1051136</v>
      </c>
      <c r="E617" s="44">
        <v>757859.23</v>
      </c>
      <c r="F617" s="140">
        <f>(E617/D617)*100</f>
        <v>72.09906520183877</v>
      </c>
      <c r="G617" s="44">
        <v>1051136</v>
      </c>
      <c r="H617" s="44">
        <f>1100753-30000</f>
        <v>1070753</v>
      </c>
      <c r="I617" s="140">
        <f>(H617/G617)*100</f>
        <v>101.86626659157332</v>
      </c>
    </row>
    <row r="618" spans="1:9" ht="15.75">
      <c r="A618" s="14"/>
      <c r="B618" s="43" t="s">
        <v>11</v>
      </c>
      <c r="C618" s="44">
        <f>2195485-100000</f>
        <v>2095485</v>
      </c>
      <c r="D618" s="44">
        <v>2583485</v>
      </c>
      <c r="E618" s="44">
        <v>1390031.63</v>
      </c>
      <c r="F618" s="140">
        <f>(E618/D618)*100</f>
        <v>53.804517154154176</v>
      </c>
      <c r="G618" s="44">
        <v>2583485</v>
      </c>
      <c r="H618" s="44">
        <f>2128077-50000</f>
        <v>2078077</v>
      </c>
      <c r="I618" s="140">
        <f>(H618/G618)*100</f>
        <v>80.43696789414298</v>
      </c>
    </row>
    <row r="619" spans="1:9" ht="45.75">
      <c r="A619" s="14"/>
      <c r="B619" s="52" t="s">
        <v>331</v>
      </c>
      <c r="C619" s="29">
        <v>0</v>
      </c>
      <c r="D619" s="29">
        <v>417100</v>
      </c>
      <c r="E619" s="29">
        <v>68757</v>
      </c>
      <c r="F619" s="138">
        <f>(E619/D619)*100</f>
        <v>16.48453608247423</v>
      </c>
      <c r="G619" s="29">
        <v>417100</v>
      </c>
      <c r="H619" s="29">
        <v>0</v>
      </c>
      <c r="I619" s="138">
        <f>(H619/G619)*100</f>
        <v>0</v>
      </c>
    </row>
    <row r="620" spans="1:9" ht="15.75">
      <c r="A620" s="14"/>
      <c r="B620" s="58" t="s">
        <v>103</v>
      </c>
      <c r="C620" s="26">
        <f>SUM(C622:C622)</f>
        <v>0</v>
      </c>
      <c r="D620" s="26">
        <f>SUM(D622:D622)</f>
        <v>50000</v>
      </c>
      <c r="E620" s="26">
        <f>SUM(E622:E622)</f>
        <v>27441.29</v>
      </c>
      <c r="F620" s="142">
        <f>(E620/D620)*100</f>
        <v>54.882580000000004</v>
      </c>
      <c r="G620" s="26">
        <f>SUM(G622:G622)</f>
        <v>50000</v>
      </c>
      <c r="H620" s="26">
        <f>SUM(H622:H622)</f>
        <v>0</v>
      </c>
      <c r="I620" s="142">
        <f>(H620/G620)*100</f>
        <v>0</v>
      </c>
    </row>
    <row r="621" spans="1:9" ht="15.75">
      <c r="A621" s="14"/>
      <c r="B621" s="58" t="s">
        <v>2</v>
      </c>
      <c r="C621" s="26"/>
      <c r="D621" s="26"/>
      <c r="E621" s="26"/>
      <c r="F621" s="26"/>
      <c r="G621" s="26"/>
      <c r="H621" s="26"/>
      <c r="I621" s="26"/>
    </row>
    <row r="622" spans="1:9" ht="45.75">
      <c r="A622" s="14"/>
      <c r="B622" s="112" t="s">
        <v>332</v>
      </c>
      <c r="C622" s="44">
        <v>0</v>
      </c>
      <c r="D622" s="44">
        <v>50000</v>
      </c>
      <c r="E622" s="44">
        <v>27441.29</v>
      </c>
      <c r="F622" s="140">
        <f>(E622/D622)*100</f>
        <v>54.882580000000004</v>
      </c>
      <c r="G622" s="44">
        <v>50000</v>
      </c>
      <c r="H622" s="44">
        <v>0</v>
      </c>
      <c r="I622" s="138">
        <f>(H622/G622)*100</f>
        <v>0</v>
      </c>
    </row>
    <row r="623" spans="1:9" ht="12.75" customHeight="1">
      <c r="A623" s="14"/>
      <c r="B623" s="115"/>
      <c r="C623" s="40"/>
      <c r="D623" s="40"/>
      <c r="E623" s="40"/>
      <c r="F623" s="40"/>
      <c r="G623" s="40"/>
      <c r="H623" s="40"/>
      <c r="I623" s="40"/>
    </row>
    <row r="624" spans="1:9" ht="15.75">
      <c r="A624" s="38">
        <v>92605</v>
      </c>
      <c r="B624" s="86" t="s">
        <v>121</v>
      </c>
      <c r="C624" s="25">
        <f>SUM(C626:C627,C628)</f>
        <v>467000</v>
      </c>
      <c r="D624" s="25">
        <f>SUM(D626:D627,D628)</f>
        <v>467000</v>
      </c>
      <c r="E624" s="25">
        <f>SUM(E626:E627,E628)</f>
        <v>375815.26</v>
      </c>
      <c r="F624" s="137">
        <f>(E624/D624)*100</f>
        <v>80.4743597430407</v>
      </c>
      <c r="G624" s="25">
        <f>SUM(G626:G627,G628)</f>
        <v>466000</v>
      </c>
      <c r="H624" s="25">
        <f>SUM(H626:H627,H628)</f>
        <v>450000</v>
      </c>
      <c r="I624" s="137">
        <f>(H624/G624)*100</f>
        <v>96.56652360515021</v>
      </c>
    </row>
    <row r="625" spans="1:9" ht="12.75" customHeight="1">
      <c r="A625" s="14"/>
      <c r="B625" s="76"/>
      <c r="C625" s="37"/>
      <c r="D625" s="37"/>
      <c r="E625" s="37"/>
      <c r="F625" s="37"/>
      <c r="G625" s="37"/>
      <c r="H625" s="37"/>
      <c r="I625" s="37"/>
    </row>
    <row r="626" spans="1:9" ht="45" customHeight="1">
      <c r="A626" s="14"/>
      <c r="B626" s="112" t="s">
        <v>169</v>
      </c>
      <c r="C626" s="29">
        <v>300000</v>
      </c>
      <c r="D626" s="29">
        <v>300000</v>
      </c>
      <c r="E626" s="29">
        <v>294000</v>
      </c>
      <c r="F626" s="138">
        <f>(E626/D626)*100</f>
        <v>98</v>
      </c>
      <c r="G626" s="29">
        <f>300000-1000</f>
        <v>299000</v>
      </c>
      <c r="H626" s="29">
        <f>350000-50000</f>
        <v>300000</v>
      </c>
      <c r="I626" s="138">
        <f>(H626/G626)*100</f>
        <v>100.33444816053512</v>
      </c>
    </row>
    <row r="627" spans="1:9" ht="30.75">
      <c r="A627" s="14"/>
      <c r="B627" s="108" t="s">
        <v>333</v>
      </c>
      <c r="C627" s="67">
        <v>25000</v>
      </c>
      <c r="D627" s="67">
        <v>25000</v>
      </c>
      <c r="E627" s="67">
        <v>1400</v>
      </c>
      <c r="F627" s="138">
        <f>(E627/D627)*100</f>
        <v>5.6000000000000005</v>
      </c>
      <c r="G627" s="67">
        <v>25000</v>
      </c>
      <c r="H627" s="67">
        <f>25000-5000</f>
        <v>20000</v>
      </c>
      <c r="I627" s="138">
        <f>(H627/G627)*100</f>
        <v>80</v>
      </c>
    </row>
    <row r="628" spans="1:9" ht="47.25">
      <c r="A628" s="14"/>
      <c r="B628" s="101" t="s">
        <v>140</v>
      </c>
      <c r="C628" s="55">
        <f>SUM(C630:C631)</f>
        <v>142000</v>
      </c>
      <c r="D628" s="55">
        <f>SUM(D630:D631)</f>
        <v>142000</v>
      </c>
      <c r="E628" s="55">
        <f>SUM(E630:E631)</f>
        <v>80415.26000000001</v>
      </c>
      <c r="F628" s="142">
        <f>(E628/D628)*100</f>
        <v>56.630464788732404</v>
      </c>
      <c r="G628" s="55">
        <f>SUM(G630:G631)</f>
        <v>142000</v>
      </c>
      <c r="H628" s="55">
        <f>SUM(H630:H631)</f>
        <v>130000</v>
      </c>
      <c r="I628" s="141">
        <f>(H628/G628)*100</f>
        <v>91.54929577464789</v>
      </c>
    </row>
    <row r="629" spans="1:9" ht="15.75">
      <c r="A629" s="14"/>
      <c r="B629" s="85" t="s">
        <v>2</v>
      </c>
      <c r="C629" s="44"/>
      <c r="D629" s="44"/>
      <c r="E629" s="44"/>
      <c r="F629" s="44"/>
      <c r="G629" s="44"/>
      <c r="H629" s="44"/>
      <c r="I629" s="44"/>
    </row>
    <row r="630" spans="1:9" ht="15.75">
      <c r="A630" s="14"/>
      <c r="B630" s="85" t="s">
        <v>82</v>
      </c>
      <c r="C630" s="44">
        <v>108600</v>
      </c>
      <c r="D630" s="44">
        <v>108600</v>
      </c>
      <c r="E630" s="44">
        <v>60225.8</v>
      </c>
      <c r="F630" s="140">
        <f>(E630/D630)*100</f>
        <v>55.45653775322283</v>
      </c>
      <c r="G630" s="44">
        <v>108600</v>
      </c>
      <c r="H630" s="44">
        <v>106600</v>
      </c>
      <c r="I630" s="140">
        <f>(H630/G630)*100</f>
        <v>98.15837937384899</v>
      </c>
    </row>
    <row r="631" spans="1:9" ht="15.75">
      <c r="A631" s="14"/>
      <c r="B631" s="43" t="s">
        <v>11</v>
      </c>
      <c r="C631" s="44">
        <v>33400</v>
      </c>
      <c r="D631" s="44">
        <v>33400</v>
      </c>
      <c r="E631" s="44">
        <v>20189.46</v>
      </c>
      <c r="F631" s="140">
        <f>(E631/D631)*100</f>
        <v>60.44748502994012</v>
      </c>
      <c r="G631" s="44">
        <v>33400</v>
      </c>
      <c r="H631" s="44">
        <v>23400</v>
      </c>
      <c r="I631" s="140">
        <f>(H631/G631)*100</f>
        <v>70.05988023952095</v>
      </c>
    </row>
    <row r="632" spans="1:9" ht="16.5" thickBot="1">
      <c r="A632" s="130"/>
      <c r="B632" s="127"/>
      <c r="C632" s="126"/>
      <c r="D632" s="126"/>
      <c r="E632" s="126"/>
      <c r="F632" s="126"/>
      <c r="G632" s="126"/>
      <c r="H632" s="126"/>
      <c r="I632" s="126"/>
    </row>
    <row r="633" spans="1:9" ht="12.75" customHeight="1">
      <c r="A633" s="2"/>
      <c r="B633" s="2"/>
      <c r="C633" s="117"/>
      <c r="D633" s="117"/>
      <c r="E633" s="117"/>
      <c r="F633" s="117"/>
      <c r="G633" s="117"/>
      <c r="H633" s="117"/>
      <c r="I633" s="117"/>
    </row>
    <row r="634" spans="1:9" ht="15.75">
      <c r="A634" s="118"/>
      <c r="B634" s="118" t="s">
        <v>8</v>
      </c>
      <c r="C634" s="119" t="e">
        <f>SUM(C10,C22,C47,C53,C91,C120,C178,C184,C191,C213,C220,C238,C360,C382,C463,C475,C500,C576,C610)</f>
        <v>#REF!</v>
      </c>
      <c r="D634" s="119">
        <f>SUM(D10,D22,D47,D53,D91,D120,D178,D184,D191,D213,D220,D238,D360,D382,D463,D475,D500,D576,D610)</f>
        <v>98276316.78</v>
      </c>
      <c r="E634" s="119">
        <f>SUM(E10,E22,E47,E53,E91,E120,E178,E184,E191,E213,E220,E238,E360,E382,E463,E475,E500,E576,E610)</f>
        <v>65919337.33999999</v>
      </c>
      <c r="F634" s="142">
        <f>(E634/D634)*100</f>
        <v>67.07550659185377</v>
      </c>
      <c r="G634" s="119">
        <f>SUM(G10,G22,G47,G53,G91,G120,G178,G184,G191,G213,G220,G238,G360,G382,G463,G475,G500,G576,G610)</f>
        <v>93528049.89</v>
      </c>
      <c r="H634" s="119">
        <f>SUM(H10,H22,H47,H53,H91,H120,H178,H184,H191,H213,H220,H238,H360,H382,H463,H475,H500,H576,H610)</f>
        <v>99021304</v>
      </c>
      <c r="I634" s="154">
        <f>(H634/G634)*100</f>
        <v>105.87337607964746</v>
      </c>
    </row>
    <row r="635" spans="1:9" ht="12.75" customHeight="1" thickBot="1">
      <c r="A635" s="9"/>
      <c r="B635" s="9"/>
      <c r="C635" s="120"/>
      <c r="D635" s="120"/>
      <c r="E635" s="120"/>
      <c r="F635" s="120"/>
      <c r="G635" s="120"/>
      <c r="H635" s="120"/>
      <c r="I635" s="120"/>
    </row>
    <row r="637" ht="12.75" customHeight="1">
      <c r="B637" s="96"/>
    </row>
    <row r="638" ht="12.75" customHeight="1">
      <c r="B638" s="96"/>
    </row>
    <row r="639" ht="12.75" customHeight="1">
      <c r="B639" s="96"/>
    </row>
    <row r="640" ht="12.75" customHeight="1">
      <c r="B640" s="96"/>
    </row>
    <row r="641" ht="12.75" customHeight="1">
      <c r="B641" s="96"/>
    </row>
    <row r="642" ht="12.75" customHeight="1">
      <c r="B642" s="96"/>
    </row>
    <row r="643" ht="12.75" customHeight="1">
      <c r="B643" s="96"/>
    </row>
    <row r="644" ht="12.75" customHeight="1">
      <c r="B644" s="96"/>
    </row>
    <row r="645" ht="12.75" customHeight="1">
      <c r="B645" s="96"/>
    </row>
    <row r="646" ht="12.75" customHeight="1">
      <c r="B646" s="96"/>
    </row>
    <row r="647" ht="12.75" customHeight="1">
      <c r="B647" s="96"/>
    </row>
    <row r="648" ht="12.75" customHeight="1">
      <c r="B648" s="96"/>
    </row>
    <row r="649" ht="12.75" customHeight="1">
      <c r="B649" s="96"/>
    </row>
    <row r="650" ht="12.75" customHeight="1">
      <c r="B650" s="96"/>
    </row>
    <row r="651" ht="12.75" customHeight="1">
      <c r="B651" s="96"/>
    </row>
    <row r="652" ht="12.75" customHeight="1">
      <c r="B652" s="96"/>
    </row>
    <row r="653" ht="12.75" customHeight="1">
      <c r="B653" s="96"/>
    </row>
    <row r="654" ht="12.75" customHeight="1">
      <c r="B654" s="96"/>
    </row>
    <row r="655" ht="12.75" customHeight="1">
      <c r="B655" s="96"/>
    </row>
    <row r="656" ht="12.75" customHeight="1">
      <c r="B656" s="96"/>
    </row>
    <row r="657" ht="12.75" customHeight="1">
      <c r="B657" s="96"/>
    </row>
    <row r="658" ht="12.75" customHeight="1">
      <c r="B658" s="96"/>
    </row>
    <row r="659" ht="12.75" customHeight="1">
      <c r="B659" s="96"/>
    </row>
    <row r="660" ht="12.75" customHeight="1">
      <c r="B660" s="96"/>
    </row>
    <row r="661" ht="12.75" customHeight="1">
      <c r="B661" s="96"/>
    </row>
    <row r="662" ht="12.75" customHeight="1">
      <c r="B662" s="96"/>
    </row>
    <row r="663" ht="12.75" customHeight="1">
      <c r="B663" s="96"/>
    </row>
    <row r="664" ht="12.75" customHeight="1">
      <c r="B664" s="96"/>
    </row>
    <row r="665" ht="12.75" customHeight="1">
      <c r="B665" s="96"/>
    </row>
    <row r="666" ht="12.75" customHeight="1">
      <c r="B666" s="96"/>
    </row>
    <row r="667" ht="12.75" customHeight="1">
      <c r="B667" s="96"/>
    </row>
    <row r="668" ht="12.75" customHeight="1">
      <c r="B668" s="96"/>
    </row>
    <row r="669" ht="12.75" customHeight="1">
      <c r="B669" s="96"/>
    </row>
    <row r="670" ht="12.75" customHeight="1">
      <c r="B670" s="96"/>
    </row>
    <row r="671" ht="12.75" customHeight="1">
      <c r="B671" s="96"/>
    </row>
    <row r="672" ht="12.75" customHeight="1">
      <c r="B672" s="96"/>
    </row>
    <row r="673" ht="12.75" customHeight="1">
      <c r="B673" s="96"/>
    </row>
    <row r="674" ht="12.75" customHeight="1">
      <c r="B674" s="96"/>
    </row>
    <row r="675" ht="12.75" customHeight="1">
      <c r="B675" s="96"/>
    </row>
  </sheetData>
  <printOptions/>
  <pageMargins left="1.1811023622047245" right="0.3937007874015748" top="0.984251968503937" bottom="0.984251968503937" header="0.5511811023622047" footer="0.5118110236220472"/>
  <pageSetup fitToHeight="8" fitToWidth="8" horizontalDpi="600" verticalDpi="600" orientation="portrait" paperSize="9" scale="46" r:id="rId1"/>
  <headerFooter alignWithMargins="0">
    <oddHeader>&amp;C
</oddHeader>
    <oddFooter>&amp;C&amp;12Strona &amp;P</oddFooter>
  </headerFooter>
  <rowBreaks count="8" manualBreakCount="8">
    <brk id="76" max="8" man="1"/>
    <brk id="134" max="8" man="1"/>
    <brk id="206" max="8" man="1"/>
    <brk id="264" max="8" man="1"/>
    <brk id="331" max="8" man="1"/>
    <brk id="414" max="8" man="1"/>
    <brk id="493" max="8" man="1"/>
    <brk id="5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2">
      <selection activeCell="A595" sqref="A59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2013-11-15T07:26:40Z</cp:lastPrinted>
  <dcterms:created xsi:type="dcterms:W3CDTF">2000-09-19T11:36:23Z</dcterms:created>
  <dcterms:modified xsi:type="dcterms:W3CDTF">2013-11-15T07:46:40Z</dcterms:modified>
  <cp:category/>
  <cp:version/>
  <cp:contentType/>
  <cp:contentStatus/>
</cp:coreProperties>
</file>