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'Arkusz1'!$B$2:$N$182</definedName>
  </definedNames>
  <calcPr fullCalcOnLoad="1"/>
</workbook>
</file>

<file path=xl/sharedStrings.xml><?xml version="1.0" encoding="utf-8"?>
<sst xmlns="http://schemas.openxmlformats.org/spreadsheetml/2006/main" count="231" uniqueCount="158">
  <si>
    <t>Źródło dochodu</t>
  </si>
  <si>
    <t>P l a n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</si>
  <si>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</si>
  <si>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</si>
  <si>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</si>
  <si>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</si>
  <si>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</si>
  <si>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</si>
  <si>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 opłat</t>
  </si>
  <si>
    <t>Wpływy z różnych dochodów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</si>
  <si>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</si>
  <si>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</si>
  <si>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</si>
  <si>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</si>
  <si>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</si>
  <si>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</si>
  <si>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</si>
  <si>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opłacany w formie karty podatkowej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</si>
  <si>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</si>
  <si>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</si>
  <si>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</si>
  <si>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</si>
  <si>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</si>
  <si>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</si>
  <si>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</si>
  <si>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</si>
  <si>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</si>
  <si>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</si>
  <si>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</si>
  <si>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</si>
  <si>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</si>
  <si>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</si>
  <si>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</si>
  <si>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</si>
  <si>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</si>
  <si>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</si>
  <si>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</si>
  <si>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</si>
  <si>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</si>
  <si>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</si>
  <si>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</si>
  <si>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</si>
  <si>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</si>
  <si>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</si>
  <si>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</si>
  <si>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</si>
  <si>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</si>
  <si>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Dochody z najmu i dzierżawy składników majątkowych Skarbu Państwa lub jst oraz innych umów o podobnym charakterze</t>
  </si>
  <si>
    <t>w zł</t>
  </si>
  <si>
    <t>Dział 600</t>
  </si>
  <si>
    <t>Transport i łączność</t>
  </si>
  <si>
    <t>Wpływy z opłaty administracyjnej...</t>
  </si>
  <si>
    <t>Dotacje celowe otrzymane  z budżetu państwa na realizację własnych zadań bieżących gmin</t>
  </si>
  <si>
    <t>Wpływy z tytułu odpłatnego nabycia prawa własności nieruchomości</t>
  </si>
  <si>
    <t>Nazwa</t>
  </si>
  <si>
    <t>działu</t>
  </si>
  <si>
    <t>Wykonanie</t>
  </si>
  <si>
    <t>%</t>
  </si>
  <si>
    <t>wyk.</t>
  </si>
  <si>
    <t>Wpływy z innych lokalnych opłat pobieranych przez jst na podstawie odrębnych ustaw</t>
  </si>
  <si>
    <t>Zał. Nr 1</t>
  </si>
  <si>
    <t>Przewid.           wykonanie</t>
  </si>
  <si>
    <t>Wsk.</t>
  </si>
  <si>
    <t xml:space="preserve">7 ; 6 </t>
  </si>
  <si>
    <t>Dochody z najmu  i dzierżawy składników majątkowych  SP, jst lub innych jedn.zaliczanych do sektora fin.publ.oraz innych umów o podobnym charakterze</t>
  </si>
  <si>
    <t xml:space="preserve">Wpływy z usług </t>
  </si>
  <si>
    <t>Wpływy z różnych dochodów (należności po zlikwidowanym zakładzie budżetowym MZMK)</t>
  </si>
  <si>
    <t>Dział 921</t>
  </si>
  <si>
    <t>Kultura i ochrona dziedzictwa narodowego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</si>
  <si>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</si>
  <si>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</si>
  <si>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</si>
  <si>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</si>
  <si>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</si>
  <si>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</si>
  <si>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</si>
  <si>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</si>
  <si>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</si>
  <si>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</si>
  <si>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</si>
  <si>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</si>
  <si>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</si>
  <si>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</si>
  <si>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</si>
  <si>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</si>
  <si>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</si>
  <si>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</si>
  <si>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</si>
  <si>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</si>
  <si>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</si>
  <si>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</si>
  <si>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</si>
  <si>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</si>
  <si>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</si>
  <si>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</si>
  <si>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</si>
  <si>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</si>
  <si>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</si>
  <si>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2330</t>
  </si>
  <si>
    <t>Dochody od osób prawnych,od osób fiz.i od innych jedn.nie posiadających osobowości prawnej oraz wydatki związane z ich poborem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</si>
  <si>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</si>
  <si>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</si>
  <si>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</si>
  <si>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</si>
  <si>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</si>
  <si>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wpływy z różnych dochodów</t>
  </si>
  <si>
    <t>Dotacje celowe otrzymane od samorządu województwa na zadania bieżące realizowane na podstawie porozumień między jst.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</si>
  <si>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</si>
  <si>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</si>
  <si>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</si>
  <si>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</si>
  <si>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</si>
  <si>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</si>
  <si>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</si>
  <si>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</si>
  <si>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>2004 rok</t>
  </si>
  <si>
    <t>30.09.2004 r</t>
  </si>
  <si>
    <t>Dotacje celowe przekazane z budżetu państwa na realizację inwestycji i zakupów inwestycyjnych własnych gmin</t>
  </si>
  <si>
    <t xml:space="preserve">Wpływy z tytułu przekształcenia prawa użytkowania wieczystego przysł.osobom fizycznym w prawo własności </t>
  </si>
  <si>
    <t>Dział 853</t>
  </si>
  <si>
    <t>Pozostałe zadania z zakresu polityki społecznej</t>
  </si>
  <si>
    <t>2440</t>
  </si>
  <si>
    <t>środki na dofinansowanie własnych inwestycji gmin (związków gmin), powiatów (związków powiatów),samorządów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</si>
  <si>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</si>
  <si>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</si>
  <si>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dotacje celowe otrzymane z budżetu państwa na inwestycje i zakupy inwestycyjne z zakresu administracji rządowej oraz innych zadań zleconych gminom ustawami</t>
  </si>
  <si>
    <t>6620</t>
  </si>
  <si>
    <t>w tym: część oświatowa</t>
  </si>
  <si>
    <t xml:space="preserve">            część rekompensująca</t>
  </si>
  <si>
    <t xml:space="preserve">            część równoważąca</t>
  </si>
  <si>
    <t xml:space="preserve">            część wyrównawcza</t>
  </si>
  <si>
    <t>Wpływy z usług</t>
  </si>
  <si>
    <t>Dochody z najmu i dzierżawy składników majątkowych Skarbu Państwa, jst lub innych jednostek zaliczanych do sektora finansów publicznych oraz innych umów o podobnym charakterze</t>
  </si>
  <si>
    <t xml:space="preserve">             w tym: kwota podstawowa</t>
  </si>
  <si>
    <t>Plan</t>
  </si>
  <si>
    <t>Dochody budżetowe na 2006 rok</t>
  </si>
  <si>
    <t xml:space="preserve">Dochody z najmu i dzierżawy składników majątkowych Skarbu Państwa, jst lub innych jednostek zaliczanych do sektora fin. publ. oraz innych umów o podobnym charakterze </t>
  </si>
  <si>
    <t>Dotacje celowe otrzymane z powiatu na inwestycje i zakupy inwestycyjne realizowane na podstawie porozumień między jednostkami samorządu terytorialnego</t>
  </si>
  <si>
    <t xml:space="preserve">Przewid. wykonanie </t>
  </si>
  <si>
    <t>31.12.2005 r.</t>
  </si>
  <si>
    <t>30.09.2005 r.</t>
  </si>
  <si>
    <t>2006 r.</t>
  </si>
  <si>
    <t>Dotacje celowe otrzymane z budżetu państwa na realizację inwestycji i zakupów inwestycyjnych</t>
  </si>
  <si>
    <t>Dział 400</t>
  </si>
  <si>
    <t>Wytwarzanie i zaopatrywanie w energię elektryczną, gaz i wodę</t>
  </si>
  <si>
    <t>2390</t>
  </si>
  <si>
    <t>Wpływy do budżetu ze środków specjalnych</t>
  </si>
  <si>
    <t>Dotacje celowe otrzymane z budżetu państwa na realizacje zadań bieżących z zakresu administracji rządowej oraz innych zadań zleconych gminie ustawami</t>
  </si>
  <si>
    <t>Wpływy z innych lokalnych opłat</t>
  </si>
  <si>
    <t>0740</t>
  </si>
  <si>
    <t>Dywidendy i kwoty uzyskane ze zbycia praw majątkowych</t>
  </si>
  <si>
    <t>Dział 854</t>
  </si>
  <si>
    <t>Edukacyjna opieka wychowawcza</t>
  </si>
  <si>
    <t>Wpływy z różnych opłat (sprzedaż drewna)</t>
  </si>
  <si>
    <t>6299</t>
  </si>
  <si>
    <t>2700</t>
  </si>
  <si>
    <t>Środki na dofinansowanie własnych zadań bieżących gmin, powiatów, samorządów województw, pozyskane z innych źródeł</t>
  </si>
  <si>
    <t>Dotacje otrzymane z funduszy celowych na realizację zadań bieżących jednostek sektora finansów publicznych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</si>
</sst>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49" fontId="2" fillId="0" borderId="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168" fontId="2" fillId="0" borderId="5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72" fontId="2" fillId="0" borderId="4" xfId="17" applyNumberFormat="1" applyFont="1" applyBorder="1" applyAlignment="1">
      <alignment/>
    </xf>
    <xf numFmtId="49" fontId="1" fillId="0" borderId="9" xfId="0" applyNumberFormat="1" applyFont="1" applyBorder="1" applyAlignment="1">
      <alignment horizontal="center" vertical="top"/>
    </xf>
    <xf numFmtId="172" fontId="2" fillId="0" borderId="9" xfId="17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41" fontId="1" fillId="0" borderId="1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10" xfId="17" applyNumberFormat="1" applyFont="1" applyBorder="1" applyAlignment="1">
      <alignment/>
    </xf>
    <xf numFmtId="41" fontId="1" fillId="0" borderId="4" xfId="17" applyNumberFormat="1" applyFont="1" applyBorder="1" applyAlignment="1">
      <alignment/>
    </xf>
    <xf numFmtId="172" fontId="1" fillId="0" borderId="4" xfId="17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168" fontId="1" fillId="0" borderId="8" xfId="0" applyNumberFormat="1" applyFont="1" applyBorder="1" applyAlignment="1">
      <alignment vertical="center"/>
    </xf>
    <xf numFmtId="172" fontId="2" fillId="0" borderId="8" xfId="17" applyNumberFormat="1" applyFont="1" applyBorder="1" applyAlignment="1">
      <alignment vertical="center"/>
    </xf>
    <xf numFmtId="168" fontId="1" fillId="0" borderId="8" xfId="17" applyNumberFormat="1" applyFont="1" applyBorder="1" applyAlignment="1">
      <alignment vertical="center"/>
    </xf>
    <xf numFmtId="172" fontId="1" fillId="0" borderId="9" xfId="17" applyNumberFormat="1" applyFont="1" applyBorder="1" applyAlignment="1">
      <alignment/>
    </xf>
    <xf numFmtId="0" fontId="1" fillId="0" borderId="9" xfId="0" applyFont="1" applyBorder="1" applyAlignment="1">
      <alignment wrapText="1"/>
    </xf>
    <xf numFmtId="168" fontId="1" fillId="0" borderId="0" xfId="0" applyNumberFormat="1" applyFont="1" applyAlignment="1">
      <alignment/>
    </xf>
    <xf numFmtId="168" fontId="1" fillId="0" borderId="9" xfId="0" applyNumberFormat="1" applyFont="1" applyBorder="1" applyAlignment="1">
      <alignment/>
    </xf>
    <xf numFmtId="168" fontId="1" fillId="0" borderId="0" xfId="17" applyNumberFormat="1" applyFont="1" applyBorder="1" applyAlignment="1">
      <alignment/>
    </xf>
    <xf numFmtId="168" fontId="1" fillId="0" borderId="4" xfId="17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72" fontId="2" fillId="0" borderId="8" xfId="17" applyNumberFormat="1" applyFont="1" applyBorder="1" applyAlignment="1">
      <alignment/>
    </xf>
    <xf numFmtId="168" fontId="1" fillId="0" borderId="7" xfId="17" applyNumberFormat="1" applyFont="1" applyBorder="1" applyAlignment="1">
      <alignment/>
    </xf>
    <xf numFmtId="172" fontId="1" fillId="0" borderId="7" xfId="17" applyNumberFormat="1" applyFont="1" applyBorder="1" applyAlignment="1">
      <alignment/>
    </xf>
    <xf numFmtId="172" fontId="1" fillId="0" borderId="8" xfId="17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/>
    </xf>
    <xf numFmtId="172" fontId="2" fillId="0" borderId="4" xfId="17" applyNumberFormat="1" applyFont="1" applyBorder="1" applyAlignment="1">
      <alignment/>
    </xf>
    <xf numFmtId="172" fontId="2" fillId="0" borderId="8" xfId="17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1" fillId="0" borderId="8" xfId="17" applyNumberFormat="1" applyFont="1" applyBorder="1" applyAlignment="1">
      <alignment/>
    </xf>
    <xf numFmtId="0" fontId="1" fillId="0" borderId="8" xfId="0" applyFont="1" applyBorder="1" applyAlignment="1">
      <alignment vertical="top" wrapText="1"/>
    </xf>
    <xf numFmtId="168" fontId="1" fillId="0" borderId="1" xfId="17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168" fontId="1" fillId="0" borderId="7" xfId="0" applyNumberFormat="1" applyFont="1" applyBorder="1" applyAlignment="1">
      <alignment vertical="center"/>
    </xf>
    <xf numFmtId="172" fontId="1" fillId="0" borderId="8" xfId="17" applyNumberFormat="1" applyFont="1" applyBorder="1" applyAlignment="1">
      <alignment vertical="center"/>
    </xf>
    <xf numFmtId="168" fontId="1" fillId="0" borderId="7" xfId="17" applyNumberFormat="1" applyFont="1" applyBorder="1" applyAlignment="1">
      <alignment vertical="center"/>
    </xf>
    <xf numFmtId="168" fontId="1" fillId="0" borderId="0" xfId="17" applyNumberFormat="1" applyFont="1" applyBorder="1" applyAlignment="1">
      <alignment vertical="center"/>
    </xf>
    <xf numFmtId="168" fontId="1" fillId="0" borderId="9" xfId="17" applyNumberFormat="1" applyFont="1" applyBorder="1" applyAlignment="1">
      <alignment vertical="center"/>
    </xf>
    <xf numFmtId="172" fontId="1" fillId="0" borderId="9" xfId="17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9" xfId="17" applyNumberFormat="1" applyFont="1" applyBorder="1" applyAlignment="1">
      <alignment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8" fontId="1" fillId="0" borderId="4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3" fontId="1" fillId="0" borderId="8" xfId="15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72" fontId="1" fillId="0" borderId="4" xfId="17" applyNumberFormat="1" applyFont="1" applyBorder="1" applyAlignment="1">
      <alignment vertical="center"/>
    </xf>
    <xf numFmtId="168" fontId="1" fillId="0" borderId="2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1" fillId="0" borderId="5" xfId="0" applyNumberFormat="1" applyFont="1" applyBorder="1" applyAlignment="1">
      <alignment vertical="center"/>
    </xf>
    <xf numFmtId="168" fontId="1" fillId="0" borderId="4" xfId="0" applyNumberFormat="1" applyFont="1" applyBorder="1" applyAlignment="1">
      <alignment vertical="center"/>
    </xf>
    <xf numFmtId="168" fontId="1" fillId="0" borderId="4" xfId="17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0" fontId="1" fillId="0" borderId="8" xfId="0" applyFont="1" applyBorder="1" applyAlignment="1">
      <alignment/>
    </xf>
    <xf numFmtId="172" fontId="1" fillId="0" borderId="6" xfId="17" applyNumberFormat="1" applyFont="1" applyBorder="1" applyAlignment="1">
      <alignment/>
    </xf>
    <xf numFmtId="172" fontId="1" fillId="0" borderId="6" xfId="17" applyNumberFormat="1" applyFont="1" applyBorder="1" applyAlignment="1">
      <alignment vertical="center"/>
    </xf>
    <xf numFmtId="0" fontId="1" fillId="0" borderId="8" xfId="0" applyFont="1" applyBorder="1" applyAlignment="1">
      <alignment vertical="top"/>
    </xf>
    <xf numFmtId="49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72" fontId="1" fillId="0" borderId="13" xfId="17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172" fontId="2" fillId="0" borderId="9" xfId="17" applyNumberFormat="1" applyFont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41" fontId="1" fillId="0" borderId="11" xfId="0" applyNumberFormat="1" applyFont="1" applyBorder="1" applyAlignment="1">
      <alignment wrapText="1"/>
    </xf>
    <xf numFmtId="41" fontId="1" fillId="0" borderId="8" xfId="0" applyNumberFormat="1" applyFont="1" applyBorder="1" applyAlignment="1">
      <alignment wrapText="1"/>
    </xf>
    <xf numFmtId="41" fontId="1" fillId="0" borderId="8" xfId="17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41" fontId="1" fillId="0" borderId="10" xfId="0" applyNumberFormat="1" applyFont="1" applyBorder="1" applyAlignment="1">
      <alignment vertical="center" wrapText="1"/>
    </xf>
    <xf numFmtId="41" fontId="1" fillId="0" borderId="4" xfId="0" applyNumberFormat="1" applyFont="1" applyBorder="1" applyAlignment="1">
      <alignment vertical="center" wrapText="1"/>
    </xf>
    <xf numFmtId="41" fontId="1" fillId="0" borderId="4" xfId="17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168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168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172" fontId="1" fillId="0" borderId="14" xfId="17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168" fontId="1" fillId="0" borderId="10" xfId="17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wrapText="1"/>
    </xf>
    <xf numFmtId="168" fontId="2" fillId="0" borderId="7" xfId="0" applyNumberFormat="1" applyFont="1" applyBorder="1" applyAlignment="1">
      <alignment/>
    </xf>
    <xf numFmtId="168" fontId="2" fillId="0" borderId="8" xfId="0" applyNumberFormat="1" applyFont="1" applyBorder="1" applyAlignment="1">
      <alignment shrinkToFit="1"/>
    </xf>
    <xf numFmtId="172" fontId="2" fillId="0" borderId="13" xfId="17" applyNumberFormat="1" applyFont="1" applyBorder="1" applyAlignment="1">
      <alignment/>
    </xf>
    <xf numFmtId="168" fontId="1" fillId="0" borderId="4" xfId="0" applyNumberFormat="1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shrinkToFit="1"/>
    </xf>
    <xf numFmtId="41" fontId="1" fillId="0" borderId="8" xfId="0" applyNumberFormat="1" applyFont="1" applyBorder="1" applyAlignment="1">
      <alignment vertical="center"/>
    </xf>
    <xf numFmtId="41" fontId="1" fillId="0" borderId="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shrinkToFi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2" fontId="1" fillId="0" borderId="0" xfId="17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41" fontId="2" fillId="0" borderId="8" xfId="0" applyNumberFormat="1" applyFont="1" applyBorder="1" applyAlignment="1">
      <alignment/>
    </xf>
    <xf numFmtId="41" fontId="2" fillId="0" borderId="8" xfId="17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41" fontId="1" fillId="0" borderId="8" xfId="17" applyNumberFormat="1" applyFont="1" applyBorder="1" applyAlignment="1">
      <alignment vertical="center"/>
    </xf>
    <xf numFmtId="41" fontId="2" fillId="0" borderId="8" xfId="17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168" fontId="1" fillId="0" borderId="11" xfId="17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168" fontId="2" fillId="0" borderId="11" xfId="0" applyNumberFormat="1" applyFont="1" applyBorder="1" applyAlignment="1">
      <alignment/>
    </xf>
    <xf numFmtId="172" fontId="1" fillId="0" borderId="10" xfId="17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9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4" xfId="17" applyNumberFormat="1" applyFont="1" applyBorder="1" applyAlignment="1">
      <alignment/>
    </xf>
    <xf numFmtId="178" fontId="2" fillId="0" borderId="4" xfId="17" applyNumberFormat="1" applyFont="1" applyBorder="1" applyAlignment="1">
      <alignment/>
    </xf>
    <xf numFmtId="178" fontId="1" fillId="0" borderId="4" xfId="17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41" fontId="2" fillId="0" borderId="4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68" fontId="2" fillId="0" borderId="4" xfId="17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43" fontId="1" fillId="0" borderId="8" xfId="0" applyNumberFormat="1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8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/>
    </xf>
    <xf numFmtId="43" fontId="1" fillId="0" borderId="4" xfId="0" applyNumberFormat="1" applyFont="1" applyBorder="1" applyAlignment="1">
      <alignment vertical="center"/>
    </xf>
    <xf numFmtId="166" fontId="1" fillId="0" borderId="4" xfId="17" applyNumberFormat="1" applyFont="1" applyBorder="1" applyAlignment="1">
      <alignment vertical="center"/>
    </xf>
    <xf numFmtId="166" fontId="1" fillId="0" borderId="8" xfId="17" applyNumberFormat="1" applyFont="1" applyBorder="1" applyAlignment="1">
      <alignment/>
    </xf>
    <xf numFmtId="166" fontId="1" fillId="0" borderId="8" xfId="17" applyNumberFormat="1" applyFont="1" applyBorder="1" applyAlignment="1">
      <alignment vertical="center"/>
    </xf>
    <xf numFmtId="0" fontId="1" fillId="0" borderId="11" xfId="0" applyFont="1" applyBorder="1" applyAlignment="1">
      <alignment vertical="top"/>
    </xf>
    <xf numFmtId="166" fontId="1" fillId="0" borderId="9" xfId="17" applyNumberFormat="1" applyFont="1" applyBorder="1" applyAlignment="1">
      <alignment/>
    </xf>
    <xf numFmtId="166" fontId="1" fillId="0" borderId="4" xfId="17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78" fontId="1" fillId="0" borderId="8" xfId="17" applyNumberFormat="1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6" fontId="2" fillId="0" borderId="8" xfId="0" applyNumberFormat="1" applyFont="1" applyBorder="1" applyAlignment="1">
      <alignment shrinkToFit="1"/>
    </xf>
    <xf numFmtId="166" fontId="2" fillId="0" borderId="8" xfId="0" applyNumberFormat="1" applyFont="1" applyBorder="1" applyAlignment="1">
      <alignment/>
    </xf>
    <xf numFmtId="172" fontId="2" fillId="0" borderId="6" xfId="17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1" fontId="1" fillId="0" borderId="11" xfId="0" applyNumberFormat="1" applyFont="1" applyBorder="1" applyAlignment="1">
      <alignment vertical="center"/>
    </xf>
    <xf numFmtId="41" fontId="1" fillId="0" borderId="11" xfId="17" applyNumberFormat="1" applyFont="1" applyBorder="1" applyAlignment="1">
      <alignment vertical="center"/>
    </xf>
    <xf numFmtId="41" fontId="2" fillId="0" borderId="11" xfId="17" applyNumberFormat="1" applyFont="1" applyBorder="1" applyAlignment="1">
      <alignment vertical="center"/>
    </xf>
    <xf numFmtId="178" fontId="1" fillId="0" borderId="11" xfId="17" applyNumberFormat="1" applyFont="1" applyBorder="1" applyAlignment="1">
      <alignment vertical="center"/>
    </xf>
    <xf numFmtId="41" fontId="5" fillId="0" borderId="11" xfId="17" applyNumberFormat="1" applyFont="1" applyBorder="1" applyAlignment="1">
      <alignment vertical="center"/>
    </xf>
    <xf numFmtId="166" fontId="1" fillId="0" borderId="11" xfId="17" applyNumberFormat="1" applyFont="1" applyBorder="1" applyAlignment="1">
      <alignment vertical="center"/>
    </xf>
    <xf numFmtId="172" fontId="1" fillId="0" borderId="10" xfId="17" applyNumberFormat="1" applyFont="1" applyBorder="1" applyAlignment="1">
      <alignment horizontal="center"/>
    </xf>
    <xf numFmtId="172" fontId="1" fillId="0" borderId="8" xfId="17" applyNumberFormat="1" applyFont="1" applyBorder="1" applyAlignment="1">
      <alignment horizontal="center"/>
    </xf>
    <xf numFmtId="178" fontId="1" fillId="0" borderId="10" xfId="17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6" fontId="1" fillId="0" borderId="10" xfId="17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wrapText="1"/>
    </xf>
    <xf numFmtId="168" fontId="5" fillId="0" borderId="1" xfId="17" applyNumberFormat="1" applyFont="1" applyBorder="1" applyAlignment="1">
      <alignment/>
    </xf>
    <xf numFmtId="172" fontId="2" fillId="0" borderId="9" xfId="17" applyNumberFormat="1" applyFont="1" applyBorder="1" applyAlignment="1">
      <alignment vertical="center"/>
    </xf>
    <xf numFmtId="172" fontId="2" fillId="0" borderId="4" xfId="17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72" fontId="1" fillId="0" borderId="1" xfId="17" applyNumberFormat="1" applyFont="1" applyBorder="1" applyAlignment="1">
      <alignment vertical="center"/>
    </xf>
    <xf numFmtId="168" fontId="1" fillId="0" borderId="9" xfId="0" applyNumberFormat="1" applyFont="1" applyBorder="1" applyAlignment="1">
      <alignment vertical="center"/>
    </xf>
    <xf numFmtId="168" fontId="1" fillId="0" borderId="4" xfId="0" applyNumberFormat="1" applyFont="1" applyBorder="1" applyAlignment="1">
      <alignment vertical="center"/>
    </xf>
    <xf numFmtId="172" fontId="1" fillId="0" borderId="9" xfId="17" applyNumberFormat="1" applyFont="1" applyBorder="1" applyAlignment="1">
      <alignment vertical="center"/>
    </xf>
    <xf numFmtId="172" fontId="1" fillId="0" borderId="4" xfId="17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8" fontId="2" fillId="0" borderId="9" xfId="0" applyNumberFormat="1" applyFont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72" fontId="2" fillId="0" borderId="1" xfId="17" applyNumberFormat="1" applyFont="1" applyBorder="1" applyAlignment="1">
      <alignment vertical="center"/>
    </xf>
    <xf numFmtId="172" fontId="2" fillId="0" borderId="1" xfId="17" applyNumberFormat="1" applyFont="1" applyBorder="1" applyAlignment="1">
      <alignment/>
    </xf>
    <xf numFmtId="172" fontId="2" fillId="0" borderId="9" xfId="17" applyNumberFormat="1" applyFont="1" applyBorder="1" applyAlignment="1">
      <alignment/>
    </xf>
    <xf numFmtId="172" fontId="2" fillId="0" borderId="4" xfId="17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9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8" fontId="1" fillId="0" borderId="9" xfId="17" applyNumberFormat="1" applyFont="1" applyBorder="1" applyAlignment="1">
      <alignment vertical="center"/>
    </xf>
    <xf numFmtId="168" fontId="1" fillId="0" borderId="4" xfId="17" applyNumberFormat="1" applyFont="1" applyBorder="1" applyAlignment="1">
      <alignment vertical="center"/>
    </xf>
    <xf numFmtId="0" fontId="1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8" fontId="1" fillId="0" borderId="1" xfId="17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37" fontId="2" fillId="0" borderId="1" xfId="17" applyNumberFormat="1" applyFont="1" applyBorder="1" applyAlignment="1">
      <alignment/>
    </xf>
    <xf numFmtId="37" fontId="2" fillId="0" borderId="9" xfId="17" applyNumberFormat="1" applyFont="1" applyBorder="1" applyAlignment="1">
      <alignment/>
    </xf>
    <xf numFmtId="37" fontId="2" fillId="0" borderId="4" xfId="17" applyNumberFormat="1" applyFont="1" applyBorder="1" applyAlignment="1">
      <alignment/>
    </xf>
    <xf numFmtId="168" fontId="2" fillId="0" borderId="1" xfId="17" applyNumberFormat="1" applyFont="1" applyBorder="1" applyAlignment="1">
      <alignment/>
    </xf>
    <xf numFmtId="168" fontId="2" fillId="0" borderId="4" xfId="17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6" fontId="2" fillId="0" borderId="1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1" fillId="0" borderId="1" xfId="17" applyNumberFormat="1" applyFont="1" applyBorder="1" applyAlignment="1">
      <alignment vertical="center"/>
    </xf>
    <xf numFmtId="166" fontId="1" fillId="0" borderId="9" xfId="17" applyNumberFormat="1" applyFont="1" applyBorder="1" applyAlignment="1">
      <alignment vertical="center"/>
    </xf>
    <xf numFmtId="166" fontId="1" fillId="0" borderId="4" xfId="17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78" fontId="2" fillId="0" borderId="1" xfId="17" applyNumberFormat="1" applyFont="1" applyBorder="1" applyAlignment="1">
      <alignment/>
    </xf>
    <xf numFmtId="178" fontId="2" fillId="0" borderId="4" xfId="17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6" fontId="2" fillId="0" borderId="4" xfId="17" applyNumberFormat="1" applyFon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BZ185"/>
  <sheetViews>
    <sheetView tabSelected="1" workbookViewId="0" topLeftCell="B1">
      <selection activeCell="C185" sqref="C185"/>
    </sheetView>
  </sheetViews>
  <sheetFormatPr defaultColWidth="9.00390625" defaultRowHeight="12.75"/>
  <cols>
    <col min="1" max="1" width="5.00390625" style="1" customWidth="1"/>
    <col min="2" max="2" width="16.625" style="2" customWidth="1"/>
    <col min="3" max="3" width="48.25390625" style="1" customWidth="1"/>
    <col min="4" max="4" width="18.00390625" style="1" hidden="1" customWidth="1"/>
    <col min="5" max="5" width="16.625" style="1" hidden="1" customWidth="1"/>
    <col min="6" max="6" width="11.75390625" style="1" hidden="1" customWidth="1"/>
    <col min="7" max="7" width="17.125" style="1" hidden="1" customWidth="1"/>
    <col min="8" max="8" width="15.875" style="1" hidden="1" customWidth="1"/>
    <col min="9" max="9" width="14.125" style="1" hidden="1" customWidth="1"/>
    <col min="10" max="10" width="16.00390625" style="1" hidden="1" customWidth="1"/>
    <col min="11" max="11" width="14.875" style="1" hidden="1" customWidth="1"/>
    <col min="12" max="12" width="15.875" style="1" hidden="1" customWidth="1"/>
    <col min="13" max="13" width="32.875" style="1" customWidth="1"/>
    <col min="14" max="14" width="13.75390625" style="1" hidden="1" customWidth="1"/>
    <col min="15" max="16384" width="9.125" style="1" customWidth="1"/>
  </cols>
  <sheetData>
    <row r="2" spans="3:14" ht="15.75">
      <c r="C2" s="3" t="s">
        <v>135</v>
      </c>
      <c r="E2" s="3" t="s">
        <v>39</v>
      </c>
      <c r="H2" s="4"/>
      <c r="M2" s="315" t="s">
        <v>60</v>
      </c>
      <c r="N2" s="4" t="s">
        <v>60</v>
      </c>
    </row>
    <row r="3" ht="15.75">
      <c r="C3" s="4" t="s">
        <v>39</v>
      </c>
    </row>
    <row r="4" spans="3:13" ht="15">
      <c r="C4" s="5"/>
      <c r="E4" s="1" t="s">
        <v>39</v>
      </c>
      <c r="H4" s="6" t="s">
        <v>48</v>
      </c>
      <c r="M4" s="6" t="s">
        <v>48</v>
      </c>
    </row>
    <row r="5" spans="2:14" ht="27.75" customHeight="1">
      <c r="B5" s="7" t="s">
        <v>54</v>
      </c>
      <c r="C5" s="8" t="s">
        <v>0</v>
      </c>
      <c r="D5" s="9" t="s">
        <v>1</v>
      </c>
      <c r="E5" s="10" t="s">
        <v>56</v>
      </c>
      <c r="F5" s="11" t="s">
        <v>57</v>
      </c>
      <c r="G5" s="12" t="s">
        <v>61</v>
      </c>
      <c r="H5" s="13" t="s">
        <v>134</v>
      </c>
      <c r="I5" s="13" t="s">
        <v>62</v>
      </c>
      <c r="J5" s="13" t="s">
        <v>56</v>
      </c>
      <c r="K5" s="13" t="s">
        <v>57</v>
      </c>
      <c r="L5" s="13" t="s">
        <v>138</v>
      </c>
      <c r="M5" s="13" t="s">
        <v>134</v>
      </c>
      <c r="N5" s="13" t="s">
        <v>62</v>
      </c>
    </row>
    <row r="6" spans="2:14" ht="15.75">
      <c r="B6" s="14" t="s">
        <v>55</v>
      </c>
      <c r="C6" s="15"/>
      <c r="D6" s="16" t="s">
        <v>115</v>
      </c>
      <c r="E6" s="17" t="s">
        <v>116</v>
      </c>
      <c r="F6" s="18" t="s">
        <v>58</v>
      </c>
      <c r="G6" s="16">
        <v>2004</v>
      </c>
      <c r="H6" s="19" t="s">
        <v>140</v>
      </c>
      <c r="I6" s="20" t="s">
        <v>63</v>
      </c>
      <c r="J6" s="19" t="s">
        <v>140</v>
      </c>
      <c r="K6" s="19" t="s">
        <v>58</v>
      </c>
      <c r="L6" s="19" t="s">
        <v>139</v>
      </c>
      <c r="M6" s="19" t="s">
        <v>141</v>
      </c>
      <c r="N6" s="20">
        <v>0.29583333333333334</v>
      </c>
    </row>
    <row r="7" spans="2:14" ht="15">
      <c r="B7" s="21">
        <v>1</v>
      </c>
      <c r="C7" s="22">
        <v>2</v>
      </c>
      <c r="D7" s="23">
        <v>3</v>
      </c>
      <c r="E7" s="24">
        <v>4</v>
      </c>
      <c r="F7" s="24">
        <v>5</v>
      </c>
      <c r="G7" s="25">
        <v>6</v>
      </c>
      <c r="H7" s="26">
        <v>3</v>
      </c>
      <c r="I7" s="26">
        <v>8</v>
      </c>
      <c r="J7" s="26">
        <v>4</v>
      </c>
      <c r="K7" s="26">
        <v>5</v>
      </c>
      <c r="L7" s="26">
        <v>6</v>
      </c>
      <c r="M7" s="26">
        <v>3</v>
      </c>
      <c r="N7" s="189">
        <v>8</v>
      </c>
    </row>
    <row r="8" spans="2:14" ht="15" hidden="1">
      <c r="B8" s="21"/>
      <c r="C8" s="22"/>
      <c r="E8" s="27"/>
      <c r="F8" s="28"/>
      <c r="G8" s="29"/>
      <c r="H8" s="27"/>
      <c r="I8" s="27"/>
      <c r="J8" s="27"/>
      <c r="K8" s="27"/>
      <c r="L8" s="27"/>
      <c r="M8" s="27"/>
      <c r="N8" s="27"/>
    </row>
    <row r="9" spans="2:14" ht="31.5" hidden="1">
      <c r="B9" s="30" t="s">
        <v>143</v>
      </c>
      <c r="C9" s="202" t="s">
        <v>144</v>
      </c>
      <c r="D9" s="196"/>
      <c r="E9" s="159"/>
      <c r="F9" s="159"/>
      <c r="G9" s="141"/>
      <c r="H9" s="205">
        <f>SUM(H10)</f>
        <v>0</v>
      </c>
      <c r="I9" s="203">
        <f>SUM(I10)</f>
        <v>0</v>
      </c>
      <c r="J9" s="203">
        <f>SUM(J10)</f>
        <v>3868</v>
      </c>
      <c r="K9" s="204">
        <v>0</v>
      </c>
      <c r="L9" s="203">
        <f>SUM(L10)</f>
        <v>54253</v>
      </c>
      <c r="M9" s="203">
        <f>SUM(M10)</f>
        <v>0</v>
      </c>
      <c r="N9" s="205">
        <v>0</v>
      </c>
    </row>
    <row r="10" spans="2:14" ht="15" hidden="1">
      <c r="B10" s="199" t="s">
        <v>77</v>
      </c>
      <c r="C10" s="38" t="s">
        <v>108</v>
      </c>
      <c r="E10" s="28"/>
      <c r="F10" s="28"/>
      <c r="G10" s="140"/>
      <c r="H10" s="54">
        <v>0</v>
      </c>
      <c r="I10" s="197"/>
      <c r="J10" s="198">
        <v>3868</v>
      </c>
      <c r="K10" s="191">
        <v>0</v>
      </c>
      <c r="L10" s="198">
        <v>54253</v>
      </c>
      <c r="M10" s="69">
        <v>0</v>
      </c>
      <c r="N10" s="54">
        <v>0</v>
      </c>
    </row>
    <row r="11" spans="2:14" ht="15">
      <c r="B11" s="21"/>
      <c r="C11" s="200"/>
      <c r="D11" s="201"/>
      <c r="E11" s="27"/>
      <c r="F11" s="27"/>
      <c r="G11" s="29"/>
      <c r="H11" s="27"/>
      <c r="I11" s="27"/>
      <c r="J11" s="27"/>
      <c r="K11" s="27"/>
      <c r="L11" s="27"/>
      <c r="M11" s="27"/>
      <c r="N11" s="27"/>
    </row>
    <row r="12" spans="2:14" ht="15.75">
      <c r="B12" s="30" t="s">
        <v>49</v>
      </c>
      <c r="C12" s="31" t="s">
        <v>50</v>
      </c>
      <c r="D12" s="32">
        <f>SUM(D14:D21)</f>
        <v>342000</v>
      </c>
      <c r="E12" s="33">
        <f>SUM(E14:E21)</f>
        <v>36387</v>
      </c>
      <c r="F12" s="34">
        <f>(E12/D12)*100</f>
        <v>10.639473684210527</v>
      </c>
      <c r="G12" s="33">
        <f>SUM(G14:G21)</f>
        <v>345000</v>
      </c>
      <c r="H12" s="33">
        <f>SUM(H14:H21)</f>
        <v>886000</v>
      </c>
      <c r="I12" s="34">
        <f>(H12/G12)*100</f>
        <v>256.81159420289856</v>
      </c>
      <c r="J12" s="33">
        <f>SUM(J14:J21)</f>
        <v>113031</v>
      </c>
      <c r="K12" s="190">
        <f>(J12/H12)*100</f>
        <v>12.75744920993228</v>
      </c>
      <c r="L12" s="33">
        <f>SUM(L14:L21)</f>
        <v>939026</v>
      </c>
      <c r="M12" s="33">
        <f>SUM(M14:M21)</f>
        <v>647300</v>
      </c>
      <c r="N12" s="193">
        <f>(M12/L12)*100</f>
        <v>68.93312858216918</v>
      </c>
    </row>
    <row r="13" spans="2:14" ht="15.75" hidden="1">
      <c r="B13" s="35"/>
      <c r="C13" s="28"/>
      <c r="E13" s="28"/>
      <c r="F13" s="36"/>
      <c r="G13" s="5"/>
      <c r="H13" s="27"/>
      <c r="I13" s="27"/>
      <c r="J13" s="27"/>
      <c r="K13" s="190" t="e">
        <f aca="true" t="shared" si="0" ref="K13:K20">(J13/H13)*100</f>
        <v>#DIV/0!</v>
      </c>
      <c r="L13" s="27"/>
      <c r="M13" s="27"/>
      <c r="N13" s="27"/>
    </row>
    <row r="14" spans="2:14" ht="30.75">
      <c r="B14" s="37" t="s">
        <v>91</v>
      </c>
      <c r="C14" s="38" t="s">
        <v>59</v>
      </c>
      <c r="D14" s="39">
        <v>5000</v>
      </c>
      <c r="E14" s="40">
        <v>2620</v>
      </c>
      <c r="F14" s="34">
        <f>(E14/D14)*100</f>
        <v>52.400000000000006</v>
      </c>
      <c r="G14" s="41">
        <v>3000</v>
      </c>
      <c r="H14" s="42">
        <v>2000</v>
      </c>
      <c r="I14" s="43">
        <f>(H14/G14)*100</f>
        <v>66.66666666666666</v>
      </c>
      <c r="J14" s="42">
        <v>2055</v>
      </c>
      <c r="K14" s="191">
        <f t="shared" si="0"/>
        <v>102.75000000000001</v>
      </c>
      <c r="L14" s="42">
        <v>2550</v>
      </c>
      <c r="M14" s="42">
        <v>600</v>
      </c>
      <c r="N14" s="192">
        <f>(M14/L14)*100</f>
        <v>23.52941176470588</v>
      </c>
    </row>
    <row r="15" spans="2:14" ht="15.75">
      <c r="B15" s="37" t="s">
        <v>77</v>
      </c>
      <c r="C15" s="38" t="s">
        <v>108</v>
      </c>
      <c r="D15" s="39"/>
      <c r="E15" s="40"/>
      <c r="F15" s="34"/>
      <c r="G15" s="41"/>
      <c r="H15" s="42">
        <v>50000</v>
      </c>
      <c r="I15" s="49"/>
      <c r="J15" s="42">
        <v>40550</v>
      </c>
      <c r="K15" s="206">
        <f t="shared" si="0"/>
        <v>81.10000000000001</v>
      </c>
      <c r="L15" s="42">
        <v>50000</v>
      </c>
      <c r="M15" s="42">
        <v>50000</v>
      </c>
      <c r="N15" s="192">
        <f>(M15/L15)*100</f>
        <v>100</v>
      </c>
    </row>
    <row r="16" spans="2:14" ht="15.75" hidden="1">
      <c r="B16" s="37" t="s">
        <v>75</v>
      </c>
      <c r="C16" s="38" t="s">
        <v>29</v>
      </c>
      <c r="D16" s="39"/>
      <c r="E16" s="40"/>
      <c r="F16" s="34"/>
      <c r="G16" s="41"/>
      <c r="H16" s="42">
        <v>0</v>
      </c>
      <c r="I16" s="49"/>
      <c r="J16" s="42">
        <v>75</v>
      </c>
      <c r="K16" s="206">
        <v>0</v>
      </c>
      <c r="L16" s="42">
        <v>75</v>
      </c>
      <c r="M16" s="42">
        <v>0</v>
      </c>
      <c r="N16" s="192">
        <v>0</v>
      </c>
    </row>
    <row r="17" spans="2:14" ht="15.75" hidden="1">
      <c r="B17" s="37" t="s">
        <v>145</v>
      </c>
      <c r="C17" s="38" t="s">
        <v>146</v>
      </c>
      <c r="D17" s="39"/>
      <c r="E17" s="40"/>
      <c r="F17" s="34"/>
      <c r="G17" s="41"/>
      <c r="H17" s="42">
        <v>0</v>
      </c>
      <c r="I17" s="49"/>
      <c r="J17" s="42">
        <v>34426</v>
      </c>
      <c r="K17" s="191">
        <v>0</v>
      </c>
      <c r="L17" s="42">
        <v>34426</v>
      </c>
      <c r="M17" s="42">
        <v>0</v>
      </c>
      <c r="N17" s="54">
        <v>0</v>
      </c>
    </row>
    <row r="18" spans="2:14" ht="45.75" hidden="1">
      <c r="B18" s="37" t="s">
        <v>107</v>
      </c>
      <c r="C18" s="38" t="s">
        <v>142</v>
      </c>
      <c r="D18" s="39"/>
      <c r="E18" s="40"/>
      <c r="F18" s="34"/>
      <c r="G18" s="41"/>
      <c r="H18" s="42">
        <v>300000</v>
      </c>
      <c r="I18" s="49"/>
      <c r="J18" s="54">
        <v>0</v>
      </c>
      <c r="K18" s="54">
        <v>0</v>
      </c>
      <c r="L18" s="42">
        <v>300000</v>
      </c>
      <c r="M18" s="54">
        <v>0</v>
      </c>
      <c r="N18" s="54">
        <v>0</v>
      </c>
    </row>
    <row r="19" spans="2:14" ht="60">
      <c r="B19" s="44" t="s">
        <v>126</v>
      </c>
      <c r="C19" s="45" t="s">
        <v>137</v>
      </c>
      <c r="D19" s="46">
        <v>0</v>
      </c>
      <c r="E19" s="46">
        <v>0</v>
      </c>
      <c r="F19" s="47">
        <v>0</v>
      </c>
      <c r="G19" s="48">
        <v>0</v>
      </c>
      <c r="H19" s="48">
        <v>500000</v>
      </c>
      <c r="I19" s="49"/>
      <c r="J19" s="48">
        <v>0</v>
      </c>
      <c r="K19" s="48">
        <v>0</v>
      </c>
      <c r="L19" s="48">
        <v>500000</v>
      </c>
      <c r="M19" s="48">
        <v>540000</v>
      </c>
      <c r="N19" s="194">
        <f>(M19/L19)*100</f>
        <v>108</v>
      </c>
    </row>
    <row r="20" spans="2:14" ht="60.75">
      <c r="B20" s="44" t="s">
        <v>69</v>
      </c>
      <c r="C20" s="45" t="s">
        <v>136</v>
      </c>
      <c r="D20" s="51">
        <v>37000</v>
      </c>
      <c r="E20" s="52">
        <v>33767</v>
      </c>
      <c r="F20" s="36">
        <f>(E20/D20)*100</f>
        <v>91.26216216216217</v>
      </c>
      <c r="G20" s="53">
        <v>42000</v>
      </c>
      <c r="H20" s="54">
        <v>34000</v>
      </c>
      <c r="I20" s="49">
        <f>(H20/G20)*100</f>
        <v>80.95238095238095</v>
      </c>
      <c r="J20" s="54">
        <v>35925</v>
      </c>
      <c r="K20" s="191">
        <f t="shared" si="0"/>
        <v>105.66176470588235</v>
      </c>
      <c r="L20" s="54">
        <v>51975</v>
      </c>
      <c r="M20" s="54">
        <v>56700</v>
      </c>
      <c r="N20" s="192">
        <f>(M20/L20)*100</f>
        <v>109.09090909090908</v>
      </c>
    </row>
    <row r="21" spans="2:14" ht="45.75" hidden="1">
      <c r="B21" s="44" t="s">
        <v>107</v>
      </c>
      <c r="C21" s="45" t="s">
        <v>117</v>
      </c>
      <c r="D21" s="55">
        <v>300000</v>
      </c>
      <c r="E21" s="56">
        <v>0</v>
      </c>
      <c r="F21" s="57">
        <f>(E21/D21)*100</f>
        <v>0</v>
      </c>
      <c r="G21" s="58">
        <v>300000</v>
      </c>
      <c r="H21" s="59">
        <v>0</v>
      </c>
      <c r="I21" s="60">
        <f>(H21/G21)*100</f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2:14" ht="30.75" customHeight="1">
      <c r="B22" s="64" t="s">
        <v>3</v>
      </c>
      <c r="C22" s="17" t="s">
        <v>4</v>
      </c>
      <c r="D22" s="65">
        <f>SUM(D23,D24,D26,D27,D28,D30,D32,D34)</f>
        <v>3593028</v>
      </c>
      <c r="E22" s="65">
        <f>SUM(E23,E24,E26,E27,E28,E30,E32,E34)</f>
        <v>2951672</v>
      </c>
      <c r="F22" s="66">
        <f aca="true" t="shared" si="1" ref="F22:F30">(E22/D22)*100</f>
        <v>82.14998602849741</v>
      </c>
      <c r="G22" s="65">
        <f>SUM(G23,G24,G26,G27,G28,G30,G32,G34)</f>
        <v>3329323</v>
      </c>
      <c r="H22" s="65">
        <f>SUM(H23:H34)</f>
        <v>3452234.8</v>
      </c>
      <c r="I22" s="65">
        <f>SUM(I23,I24,I26,I27,I28,I29,I30,I32,I34)</f>
        <v>1071.4497101148677</v>
      </c>
      <c r="J22" s="65">
        <f>SUM(J23:J34)</f>
        <v>2957592</v>
      </c>
      <c r="K22" s="211">
        <f>SUM(K23,K24,K26,K27,K28,K29,K30,K32,K34)</f>
        <v>572.2705490781749</v>
      </c>
      <c r="L22" s="65">
        <f>SUM(L23:L34)</f>
        <v>3714519</v>
      </c>
      <c r="M22" s="65">
        <f>SUM(M23:M34)</f>
        <v>4891796</v>
      </c>
      <c r="N22" s="211">
        <f>SUM(N23,N24,N26,N27,N28,N30,N32,N34)</f>
        <v>428.57934446778773</v>
      </c>
    </row>
    <row r="23" spans="2:14" ht="30">
      <c r="B23" s="44" t="s">
        <v>71</v>
      </c>
      <c r="C23" s="45" t="s">
        <v>37</v>
      </c>
      <c r="D23" s="68">
        <v>405300</v>
      </c>
      <c r="E23" s="56">
        <v>402212</v>
      </c>
      <c r="F23" s="60">
        <f t="shared" si="1"/>
        <v>99.23809523809524</v>
      </c>
      <c r="G23" s="69">
        <v>405300</v>
      </c>
      <c r="H23" s="69">
        <v>370000</v>
      </c>
      <c r="I23" s="60">
        <f aca="true" t="shared" si="2" ref="I23:I30">(H23/G23)*100</f>
        <v>91.2904021712312</v>
      </c>
      <c r="J23" s="69">
        <v>380956</v>
      </c>
      <c r="K23" s="208">
        <f>(J23/H23)*100</f>
        <v>102.96108108108109</v>
      </c>
      <c r="L23" s="69">
        <v>400000</v>
      </c>
      <c r="M23" s="69">
        <v>382400</v>
      </c>
      <c r="N23" s="208">
        <f>(M23/L23)*100</f>
        <v>95.6</v>
      </c>
    </row>
    <row r="24" spans="2:14" ht="27.75" customHeight="1" hidden="1">
      <c r="B24" s="44" t="s">
        <v>77</v>
      </c>
      <c r="C24" s="70" t="s">
        <v>108</v>
      </c>
      <c r="D24" s="68">
        <v>0</v>
      </c>
      <c r="E24" s="56">
        <v>66</v>
      </c>
      <c r="F24" s="60">
        <v>0</v>
      </c>
      <c r="G24" s="53">
        <v>0</v>
      </c>
      <c r="H24" s="71">
        <v>0</v>
      </c>
      <c r="I24" s="49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</row>
    <row r="25" spans="2:14" ht="19.5" customHeight="1" hidden="1">
      <c r="B25" s="37" t="s">
        <v>77</v>
      </c>
      <c r="C25" s="38" t="s">
        <v>108</v>
      </c>
      <c r="D25" s="68"/>
      <c r="E25" s="56"/>
      <c r="F25" s="60"/>
      <c r="G25" s="53"/>
      <c r="H25" s="71">
        <v>0</v>
      </c>
      <c r="I25" s="49"/>
      <c r="J25" s="245">
        <v>-259</v>
      </c>
      <c r="K25" s="71">
        <v>0</v>
      </c>
      <c r="L25" s="71">
        <v>0</v>
      </c>
      <c r="M25" s="71">
        <v>0</v>
      </c>
      <c r="N25" s="71">
        <v>0</v>
      </c>
    </row>
    <row r="26" spans="2:14" ht="45">
      <c r="B26" s="72" t="s">
        <v>72</v>
      </c>
      <c r="C26" s="73" t="s">
        <v>118</v>
      </c>
      <c r="D26" s="74">
        <v>69400</v>
      </c>
      <c r="E26" s="46">
        <v>54430</v>
      </c>
      <c r="F26" s="75">
        <f t="shared" si="1"/>
        <v>78.42939481268012</v>
      </c>
      <c r="G26" s="76">
        <v>69400</v>
      </c>
      <c r="H26" s="48">
        <v>63671.8</v>
      </c>
      <c r="I26" s="75">
        <f t="shared" si="2"/>
        <v>91.74610951008646</v>
      </c>
      <c r="J26" s="48">
        <v>104026</v>
      </c>
      <c r="K26" s="210">
        <f>(J26/H26)*100</f>
        <v>163.37845011449338</v>
      </c>
      <c r="L26" s="48">
        <v>104026</v>
      </c>
      <c r="M26" s="48">
        <v>42200</v>
      </c>
      <c r="N26" s="210">
        <f>(M26/L26)*100</f>
        <v>40.566781381577684</v>
      </c>
    </row>
    <row r="27" spans="2:14" ht="60" customHeight="1" hidden="1">
      <c r="B27" s="72" t="s">
        <v>69</v>
      </c>
      <c r="C27" s="73" t="s">
        <v>64</v>
      </c>
      <c r="D27" s="74">
        <v>150000</v>
      </c>
      <c r="E27" s="46">
        <v>96012</v>
      </c>
      <c r="F27" s="75">
        <f t="shared" si="1"/>
        <v>64.008</v>
      </c>
      <c r="G27" s="77">
        <v>128016</v>
      </c>
      <c r="H27" s="78">
        <v>0</v>
      </c>
      <c r="I27" s="79">
        <f t="shared" si="2"/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</row>
    <row r="28" spans="2:14" ht="15">
      <c r="B28" s="72" t="s">
        <v>73</v>
      </c>
      <c r="C28" s="70" t="s">
        <v>65</v>
      </c>
      <c r="D28" s="68">
        <v>80000</v>
      </c>
      <c r="E28" s="56">
        <v>129305</v>
      </c>
      <c r="F28" s="60">
        <f t="shared" si="1"/>
        <v>161.63125</v>
      </c>
      <c r="G28" s="58">
        <v>172407</v>
      </c>
      <c r="H28" s="69">
        <v>190000</v>
      </c>
      <c r="I28" s="60">
        <f t="shared" si="2"/>
        <v>110.20434205107681</v>
      </c>
      <c r="J28" s="69">
        <v>91690</v>
      </c>
      <c r="K28" s="208">
        <f>(J28/H28)*100</f>
        <v>48.257894736842104</v>
      </c>
      <c r="L28" s="69">
        <v>100000</v>
      </c>
      <c r="M28" s="69">
        <v>40000</v>
      </c>
      <c r="N28" s="208">
        <f>(M28/L28)*100</f>
        <v>40</v>
      </c>
    </row>
    <row r="29" spans="2:14" ht="60">
      <c r="B29" s="72" t="s">
        <v>69</v>
      </c>
      <c r="C29" s="50" t="s">
        <v>136</v>
      </c>
      <c r="D29" s="55"/>
      <c r="E29" s="56"/>
      <c r="F29" s="60"/>
      <c r="G29" s="53"/>
      <c r="H29" s="69">
        <v>0</v>
      </c>
      <c r="I29" s="49"/>
      <c r="J29" s="69">
        <f>87888+6834</f>
        <v>94722</v>
      </c>
      <c r="K29" s="208">
        <v>0</v>
      </c>
      <c r="L29" s="69">
        <v>200000</v>
      </c>
      <c r="M29" s="69">
        <v>250000</v>
      </c>
      <c r="N29" s="208">
        <f>(M29/L29)*100</f>
        <v>125</v>
      </c>
    </row>
    <row r="30" spans="2:14" ht="30">
      <c r="B30" s="44" t="s">
        <v>74</v>
      </c>
      <c r="C30" s="80" t="s">
        <v>53</v>
      </c>
      <c r="D30" s="55">
        <v>2612548</v>
      </c>
      <c r="E30" s="56">
        <v>1862247</v>
      </c>
      <c r="F30" s="60">
        <f t="shared" si="1"/>
        <v>71.28087216005218</v>
      </c>
      <c r="G30" s="53">
        <v>2104200</v>
      </c>
      <c r="H30" s="69">
        <v>2000000</v>
      </c>
      <c r="I30" s="49">
        <f t="shared" si="2"/>
        <v>95.047999239616</v>
      </c>
      <c r="J30" s="69">
        <v>1871964</v>
      </c>
      <c r="K30" s="208">
        <f>(J30/H30)*100</f>
        <v>93.59819999999999</v>
      </c>
      <c r="L30" s="69">
        <v>2496000</v>
      </c>
      <c r="M30" s="69">
        <v>3975996</v>
      </c>
      <c r="N30" s="208">
        <f>(M30/L30)*100</f>
        <v>159.29471153846154</v>
      </c>
    </row>
    <row r="31" spans="2:14" ht="12.75" customHeight="1">
      <c r="B31" s="35"/>
      <c r="C31" s="81"/>
      <c r="D31" s="82"/>
      <c r="E31" s="52"/>
      <c r="F31" s="83"/>
      <c r="G31" s="84"/>
      <c r="H31" s="84"/>
      <c r="I31" s="85"/>
      <c r="J31" s="84"/>
      <c r="K31" s="84"/>
      <c r="L31" s="84"/>
      <c r="M31" s="84"/>
      <c r="N31" s="84"/>
    </row>
    <row r="32" spans="2:14" ht="15">
      <c r="B32" s="35" t="s">
        <v>75</v>
      </c>
      <c r="C32" s="81" t="s">
        <v>29</v>
      </c>
      <c r="D32" s="51">
        <v>175780</v>
      </c>
      <c r="E32" s="52">
        <v>325162</v>
      </c>
      <c r="F32" s="49">
        <f>(E32/D32)*100</f>
        <v>184.98236431903516</v>
      </c>
      <c r="G32" s="86">
        <v>350000</v>
      </c>
      <c r="H32" s="86">
        <v>203563</v>
      </c>
      <c r="I32" s="49">
        <f>(H32/G32)*100</f>
        <v>58.16085714285715</v>
      </c>
      <c r="J32" s="86">
        <f>21948+273166</f>
        <v>295114</v>
      </c>
      <c r="K32" s="209">
        <f>(J32/H32)*100</f>
        <v>144.9742831457583</v>
      </c>
      <c r="L32" s="86">
        <f>21948+273166</f>
        <v>295114</v>
      </c>
      <c r="M32" s="86">
        <v>151200</v>
      </c>
      <c r="N32" s="209">
        <f>(M32/L32)*100</f>
        <v>51.23443821709577</v>
      </c>
    </row>
    <row r="33" spans="2:14" ht="16.5" customHeight="1">
      <c r="B33" s="37"/>
      <c r="C33" s="87"/>
      <c r="D33" s="88"/>
      <c r="E33" s="89"/>
      <c r="F33" s="89"/>
      <c r="G33" s="90"/>
      <c r="H33" s="89"/>
      <c r="I33" s="89"/>
      <c r="J33" s="89"/>
      <c r="K33" s="89"/>
      <c r="L33" s="89"/>
      <c r="M33" s="89"/>
      <c r="N33" s="89"/>
    </row>
    <row r="34" spans="2:14" ht="30">
      <c r="B34" s="44" t="s">
        <v>70</v>
      </c>
      <c r="C34" s="80" t="s">
        <v>66</v>
      </c>
      <c r="D34" s="91">
        <v>100000</v>
      </c>
      <c r="E34" s="56">
        <v>82238</v>
      </c>
      <c r="F34" s="92">
        <f>(E34/D34)*100</f>
        <v>82.238</v>
      </c>
      <c r="G34" s="56">
        <v>100000</v>
      </c>
      <c r="H34" s="56">
        <v>625000</v>
      </c>
      <c r="I34" s="43">
        <f>(H34/G34)*100</f>
        <v>625</v>
      </c>
      <c r="J34" s="56">
        <f>56625+56552+6202</f>
        <v>119379</v>
      </c>
      <c r="K34" s="208">
        <f>(J34/H34)*100</f>
        <v>19.10064</v>
      </c>
      <c r="L34" s="56">
        <f>56625+56552+6202</f>
        <v>119379</v>
      </c>
      <c r="M34" s="56">
        <v>50000</v>
      </c>
      <c r="N34" s="208">
        <f>(M34/L34)*100</f>
        <v>41.8834133306528</v>
      </c>
    </row>
    <row r="35" spans="2:14" ht="15.75" customHeight="1">
      <c r="B35" s="267" t="s">
        <v>41</v>
      </c>
      <c r="C35" s="270" t="s">
        <v>42</v>
      </c>
      <c r="D35" s="264">
        <f>SUM(D38:D42)</f>
        <v>22000</v>
      </c>
      <c r="E35" s="264">
        <f>SUM(E38:E42)</f>
        <v>23264</v>
      </c>
      <c r="F35" s="261">
        <f>(E35/D35)*100</f>
        <v>105.74545454545455</v>
      </c>
      <c r="G35" s="264">
        <f>SUM(G38:G42)</f>
        <v>31187</v>
      </c>
      <c r="H35" s="264">
        <f>SUM(H38:H42)</f>
        <v>22000</v>
      </c>
      <c r="I35" s="261">
        <f>(H35/G35)*100</f>
        <v>70.54221310161284</v>
      </c>
      <c r="J35" s="264">
        <f>SUM(J38:J42)</f>
        <v>8548</v>
      </c>
      <c r="K35" s="302">
        <f>(J35/H35)*100</f>
        <v>38.85454545454545</v>
      </c>
      <c r="L35" s="264">
        <f>SUM(L38:L42)</f>
        <v>8548</v>
      </c>
      <c r="M35" s="264">
        <f>SUM(M38:M42)</f>
        <v>10000</v>
      </c>
      <c r="N35" s="302">
        <f>(M35/L35)*100</f>
        <v>116.9864295741694</v>
      </c>
    </row>
    <row r="36" spans="2:14" ht="18" customHeight="1">
      <c r="B36" s="268"/>
      <c r="C36" s="271"/>
      <c r="D36" s="265"/>
      <c r="E36" s="265"/>
      <c r="F36" s="262"/>
      <c r="G36" s="265"/>
      <c r="H36" s="265"/>
      <c r="I36" s="262"/>
      <c r="J36" s="265"/>
      <c r="K36" s="303"/>
      <c r="L36" s="265"/>
      <c r="M36" s="265"/>
      <c r="N36" s="303"/>
    </row>
    <row r="37" spans="2:14" ht="5.25" customHeight="1" hidden="1">
      <c r="B37" s="269"/>
      <c r="C37" s="272"/>
      <c r="D37" s="266"/>
      <c r="E37" s="266"/>
      <c r="F37" s="263"/>
      <c r="G37" s="266"/>
      <c r="H37" s="266"/>
      <c r="I37" s="263"/>
      <c r="J37" s="266"/>
      <c r="K37" s="304"/>
      <c r="L37" s="266"/>
      <c r="M37" s="266"/>
      <c r="N37" s="304"/>
    </row>
    <row r="38" spans="2:14" ht="15">
      <c r="B38" s="44" t="s">
        <v>77</v>
      </c>
      <c r="C38" s="45" t="s">
        <v>108</v>
      </c>
      <c r="D38" s="68">
        <v>12000</v>
      </c>
      <c r="E38" s="56">
        <v>13077</v>
      </c>
      <c r="F38" s="60">
        <f>(E38/D38)*100</f>
        <v>108.975</v>
      </c>
      <c r="G38" s="69">
        <v>16000</v>
      </c>
      <c r="H38" s="71">
        <v>16000</v>
      </c>
      <c r="I38" s="60">
        <f>(H38/G38)*100</f>
        <v>100</v>
      </c>
      <c r="J38" s="71">
        <v>2548</v>
      </c>
      <c r="K38" s="208">
        <f>(J38/H38)*100</f>
        <v>15.925</v>
      </c>
      <c r="L38" s="71">
        <v>2548</v>
      </c>
      <c r="M38" s="69">
        <v>10000</v>
      </c>
      <c r="N38" s="208">
        <f>(M38/L38)*100</f>
        <v>392.4646781789639</v>
      </c>
    </row>
    <row r="39" spans="2:14" ht="15" hidden="1">
      <c r="B39" s="72" t="s">
        <v>39</v>
      </c>
      <c r="C39" s="275" t="s">
        <v>21</v>
      </c>
      <c r="D39" s="97"/>
      <c r="E39" s="84"/>
      <c r="F39" s="85"/>
      <c r="G39" s="84"/>
      <c r="H39" s="85"/>
      <c r="I39" s="85"/>
      <c r="J39" s="85"/>
      <c r="K39" s="85"/>
      <c r="L39" s="85"/>
      <c r="M39" s="85"/>
      <c r="N39" s="85"/>
    </row>
    <row r="40" spans="2:14" ht="15" hidden="1">
      <c r="B40" s="35"/>
      <c r="C40" s="275"/>
      <c r="D40" s="98"/>
      <c r="E40" s="52"/>
      <c r="F40" s="83"/>
      <c r="G40" s="52"/>
      <c r="H40" s="83"/>
      <c r="I40" s="83"/>
      <c r="J40" s="83"/>
      <c r="K40" s="83"/>
      <c r="L40" s="83"/>
      <c r="M40" s="83"/>
      <c r="N40" s="83"/>
    </row>
    <row r="41" spans="2:14" ht="43.5" customHeight="1" hidden="1">
      <c r="B41" s="37" t="s">
        <v>76</v>
      </c>
      <c r="C41" s="275"/>
      <c r="D41" s="99">
        <v>10000</v>
      </c>
      <c r="E41" s="100">
        <v>5000</v>
      </c>
      <c r="F41" s="96">
        <f>(E41/D41)*100</f>
        <v>50</v>
      </c>
      <c r="G41" s="101">
        <v>10000</v>
      </c>
      <c r="H41" s="101">
        <v>6000</v>
      </c>
      <c r="I41" s="96">
        <f>(H41/G41)*100</f>
        <v>60</v>
      </c>
      <c r="J41" s="101">
        <v>6000</v>
      </c>
      <c r="K41" s="212">
        <f>(J41/H41)*100</f>
        <v>100</v>
      </c>
      <c r="L41" s="101">
        <v>6000</v>
      </c>
      <c r="M41" s="101">
        <v>0</v>
      </c>
      <c r="N41" s="212">
        <f>(M41/L41)*100</f>
        <v>0</v>
      </c>
    </row>
    <row r="42" spans="2:14" ht="31.5" customHeight="1" hidden="1">
      <c r="B42" s="44" t="s">
        <v>109</v>
      </c>
      <c r="C42" s="45" t="s">
        <v>110</v>
      </c>
      <c r="D42" s="68">
        <v>0</v>
      </c>
      <c r="E42" s="56">
        <v>5187</v>
      </c>
      <c r="F42" s="43">
        <v>0</v>
      </c>
      <c r="G42" s="58">
        <v>5187</v>
      </c>
      <c r="H42" s="69">
        <v>0</v>
      </c>
      <c r="I42" s="60">
        <f>(H42/G42)*100</f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</row>
    <row r="43" spans="2:14" ht="15">
      <c r="B43" s="10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2:14" ht="29.25" customHeight="1">
      <c r="B44" s="94" t="s">
        <v>5</v>
      </c>
      <c r="C44" s="104" t="s">
        <v>6</v>
      </c>
      <c r="D44" s="105">
        <f>SUM(D45:D61)</f>
        <v>381480</v>
      </c>
      <c r="E44" s="95">
        <f>SUM(E45:E61)</f>
        <v>395221</v>
      </c>
      <c r="F44" s="67">
        <f>(E44/D44)*100</f>
        <v>103.60202369717942</v>
      </c>
      <c r="G44" s="105">
        <f>SUM(G45:G61)</f>
        <v>526630</v>
      </c>
      <c r="H44" s="106">
        <f>SUM(H45:H62)</f>
        <v>523701</v>
      </c>
      <c r="I44" s="107">
        <f>(H44/G44)*100</f>
        <v>99.44382203824317</v>
      </c>
      <c r="J44" s="106">
        <f>SUM(J45:J62)</f>
        <v>513658</v>
      </c>
      <c r="K44" s="225">
        <f aca="true" t="shared" si="3" ref="K44:K49">(J44/H44)*100</f>
        <v>98.08230268798418</v>
      </c>
      <c r="L44" s="106">
        <f>SUM(L45:L62)</f>
        <v>633342</v>
      </c>
      <c r="M44" s="106">
        <f>SUM(M45:M62)</f>
        <v>628601</v>
      </c>
      <c r="N44" s="225">
        <f>(M44/L44)*100</f>
        <v>99.25143129620332</v>
      </c>
    </row>
    <row r="45" spans="2:14" ht="15">
      <c r="B45" s="44" t="s">
        <v>77</v>
      </c>
      <c r="C45" s="108" t="s">
        <v>8</v>
      </c>
      <c r="D45" s="68">
        <v>10000</v>
      </c>
      <c r="E45" s="56">
        <v>982</v>
      </c>
      <c r="F45" s="109">
        <f>(E45/D45)*100</f>
        <v>9.82</v>
      </c>
      <c r="G45" s="69">
        <v>1000</v>
      </c>
      <c r="H45" s="69">
        <v>1000</v>
      </c>
      <c r="I45" s="60">
        <f>(H45/G45)*100</f>
        <v>100</v>
      </c>
      <c r="J45" s="69">
        <v>2082</v>
      </c>
      <c r="K45" s="215">
        <f t="shared" si="3"/>
        <v>208.2</v>
      </c>
      <c r="L45" s="69">
        <v>2082</v>
      </c>
      <c r="M45" s="69">
        <v>2000</v>
      </c>
      <c r="N45" s="214">
        <f aca="true" t="shared" si="4" ref="N45:N51">(M45/L45)*100</f>
        <v>96.06147934678194</v>
      </c>
    </row>
    <row r="46" spans="2:14" ht="75">
      <c r="B46" s="72" t="s">
        <v>69</v>
      </c>
      <c r="C46" s="45" t="s">
        <v>132</v>
      </c>
      <c r="D46" s="74">
        <v>0</v>
      </c>
      <c r="E46" s="46">
        <v>0</v>
      </c>
      <c r="F46" s="110">
        <v>0</v>
      </c>
      <c r="G46" s="48">
        <v>0</v>
      </c>
      <c r="H46" s="48">
        <v>170000</v>
      </c>
      <c r="I46" s="75"/>
      <c r="J46" s="48">
        <v>125185</v>
      </c>
      <c r="K46" s="215">
        <f t="shared" si="3"/>
        <v>73.63823529411765</v>
      </c>
      <c r="L46" s="48">
        <v>170000</v>
      </c>
      <c r="M46" s="48">
        <v>170000</v>
      </c>
      <c r="N46" s="215">
        <f t="shared" si="4"/>
        <v>100</v>
      </c>
    </row>
    <row r="47" spans="2:14" ht="15">
      <c r="B47" s="72" t="s">
        <v>73</v>
      </c>
      <c r="C47" s="108" t="s">
        <v>131</v>
      </c>
      <c r="D47" s="68">
        <v>0</v>
      </c>
      <c r="E47" s="56">
        <v>0</v>
      </c>
      <c r="F47" s="109">
        <v>0</v>
      </c>
      <c r="G47" s="69">
        <v>0</v>
      </c>
      <c r="H47" s="69">
        <v>80000</v>
      </c>
      <c r="I47" s="60"/>
      <c r="J47" s="69">
        <v>97898</v>
      </c>
      <c r="K47" s="215">
        <f t="shared" si="3"/>
        <v>122.3725</v>
      </c>
      <c r="L47" s="69">
        <v>100000</v>
      </c>
      <c r="M47" s="69">
        <v>100000</v>
      </c>
      <c r="N47" s="214">
        <f t="shared" si="4"/>
        <v>100</v>
      </c>
    </row>
    <row r="48" spans="2:14" ht="15">
      <c r="B48" s="44" t="s">
        <v>75</v>
      </c>
      <c r="C48" s="108" t="s">
        <v>29</v>
      </c>
      <c r="D48" s="68">
        <v>1000</v>
      </c>
      <c r="E48" s="56">
        <v>40820</v>
      </c>
      <c r="F48" s="109">
        <f>(E48/D48)*100</f>
        <v>4082</v>
      </c>
      <c r="G48" s="69">
        <v>50000</v>
      </c>
      <c r="H48" s="69">
        <v>20000</v>
      </c>
      <c r="I48" s="60">
        <f>(H48/G48)*100</f>
        <v>40</v>
      </c>
      <c r="J48" s="69">
        <v>89684</v>
      </c>
      <c r="K48" s="215">
        <f t="shared" si="3"/>
        <v>448.42</v>
      </c>
      <c r="L48" s="69">
        <v>100000</v>
      </c>
      <c r="M48" s="69">
        <v>100000</v>
      </c>
      <c r="N48" s="214">
        <f t="shared" si="4"/>
        <v>100</v>
      </c>
    </row>
    <row r="49" spans="2:14" ht="15.75" customHeight="1" hidden="1">
      <c r="B49" s="44" t="s">
        <v>70</v>
      </c>
      <c r="C49" s="111" t="s">
        <v>9</v>
      </c>
      <c r="D49" s="68">
        <v>123000</v>
      </c>
      <c r="E49" s="56">
        <v>166718</v>
      </c>
      <c r="F49" s="109">
        <f>(E49/D49)*100</f>
        <v>135.5430894308943</v>
      </c>
      <c r="G49" s="69">
        <v>226700</v>
      </c>
      <c r="H49" s="69">
        <v>0</v>
      </c>
      <c r="I49" s="60">
        <f>(H49/G49)*100</f>
        <v>0</v>
      </c>
      <c r="J49" s="69">
        <v>0</v>
      </c>
      <c r="K49" s="215" t="e">
        <f t="shared" si="3"/>
        <v>#DIV/0!</v>
      </c>
      <c r="L49" s="69">
        <v>0</v>
      </c>
      <c r="M49" s="69">
        <v>0</v>
      </c>
      <c r="N49" s="214" t="e">
        <f t="shared" si="4"/>
        <v>#DIV/0!</v>
      </c>
    </row>
    <row r="50" spans="2:14" ht="15.75" customHeight="1" hidden="1">
      <c r="B50" s="44" t="s">
        <v>70</v>
      </c>
      <c r="C50" s="216" t="s">
        <v>9</v>
      </c>
      <c r="D50" s="97"/>
      <c r="E50" s="84"/>
      <c r="F50" s="139"/>
      <c r="G50" s="71"/>
      <c r="H50" s="71">
        <v>0</v>
      </c>
      <c r="I50" s="107"/>
      <c r="J50" s="71">
        <v>2505</v>
      </c>
      <c r="K50" s="215">
        <v>0</v>
      </c>
      <c r="L50" s="71">
        <v>2505</v>
      </c>
      <c r="M50" s="71">
        <v>0</v>
      </c>
      <c r="N50" s="214">
        <f t="shared" si="4"/>
        <v>0</v>
      </c>
    </row>
    <row r="51" spans="2:14" ht="15">
      <c r="B51" s="248" t="s">
        <v>78</v>
      </c>
      <c r="C51" s="276" t="s">
        <v>147</v>
      </c>
      <c r="D51" s="283">
        <v>220558</v>
      </c>
      <c r="E51" s="282">
        <v>165420</v>
      </c>
      <c r="F51" s="252">
        <f>(E51/D51)*100</f>
        <v>75.00068009321811</v>
      </c>
      <c r="G51" s="281">
        <v>220558</v>
      </c>
      <c r="H51" s="281">
        <v>225157</v>
      </c>
      <c r="I51" s="252">
        <f>(H51/G51)*100</f>
        <v>102.08516580672658</v>
      </c>
      <c r="J51" s="281">
        <v>168867</v>
      </c>
      <c r="K51" s="305">
        <f>(J51/H51)*100</f>
        <v>74.99966689909708</v>
      </c>
      <c r="L51" s="281">
        <v>225157</v>
      </c>
      <c r="M51" s="281">
        <v>228402</v>
      </c>
      <c r="N51" s="305">
        <f t="shared" si="4"/>
        <v>101.44121657332438</v>
      </c>
    </row>
    <row r="52" spans="2:14" ht="15" customHeight="1">
      <c r="B52" s="248"/>
      <c r="C52" s="276"/>
      <c r="D52" s="284"/>
      <c r="E52" s="253"/>
      <c r="F52" s="255"/>
      <c r="G52" s="273"/>
      <c r="H52" s="273"/>
      <c r="I52" s="255"/>
      <c r="J52" s="273"/>
      <c r="K52" s="306"/>
      <c r="L52" s="273"/>
      <c r="M52" s="273"/>
      <c r="N52" s="306"/>
    </row>
    <row r="53" spans="2:14" ht="15" customHeight="1">
      <c r="B53" s="248"/>
      <c r="C53" s="276"/>
      <c r="D53" s="284"/>
      <c r="E53" s="253"/>
      <c r="F53" s="255"/>
      <c r="G53" s="273"/>
      <c r="H53" s="273"/>
      <c r="I53" s="255"/>
      <c r="J53" s="273"/>
      <c r="K53" s="306"/>
      <c r="L53" s="273"/>
      <c r="M53" s="273"/>
      <c r="N53" s="306"/>
    </row>
    <row r="54" spans="2:14" ht="15" customHeight="1">
      <c r="B54" s="248"/>
      <c r="C54" s="276"/>
      <c r="D54" s="284"/>
      <c r="E54" s="253"/>
      <c r="F54" s="255"/>
      <c r="G54" s="273"/>
      <c r="H54" s="273"/>
      <c r="I54" s="255"/>
      <c r="J54" s="273"/>
      <c r="K54" s="306"/>
      <c r="L54" s="273"/>
      <c r="M54" s="273"/>
      <c r="N54" s="306"/>
    </row>
    <row r="55" spans="2:14" ht="15">
      <c r="B55" s="249"/>
      <c r="C55" s="276"/>
      <c r="D55" s="285"/>
      <c r="E55" s="254"/>
      <c r="F55" s="256"/>
      <c r="G55" s="274"/>
      <c r="H55" s="274"/>
      <c r="I55" s="256"/>
      <c r="J55" s="274"/>
      <c r="K55" s="307"/>
      <c r="L55" s="274"/>
      <c r="M55" s="274"/>
      <c r="N55" s="307"/>
    </row>
    <row r="56" spans="2:14" ht="15">
      <c r="B56" s="72" t="s">
        <v>39</v>
      </c>
      <c r="C56" s="279" t="s">
        <v>21</v>
      </c>
      <c r="D56" s="282">
        <v>21922</v>
      </c>
      <c r="E56" s="282">
        <v>16443</v>
      </c>
      <c r="F56" s="252">
        <f>(E56/D56)*100</f>
        <v>75.00684244138309</v>
      </c>
      <c r="G56" s="281">
        <v>21922</v>
      </c>
      <c r="H56" s="281">
        <v>22379</v>
      </c>
      <c r="I56" s="252">
        <f>(H56/G56)*100</f>
        <v>102.0846638080467</v>
      </c>
      <c r="J56" s="281">
        <v>16785</v>
      </c>
      <c r="K56" s="305">
        <f>(J56/H56)*100</f>
        <v>75.00335135618214</v>
      </c>
      <c r="L56" s="281">
        <v>22379</v>
      </c>
      <c r="M56" s="281">
        <v>22729</v>
      </c>
      <c r="N56" s="305">
        <f>(M56/L56)*100</f>
        <v>101.56396621832968</v>
      </c>
    </row>
    <row r="57" spans="2:14" ht="15">
      <c r="B57" s="35"/>
      <c r="C57" s="280"/>
      <c r="D57" s="253"/>
      <c r="E57" s="253"/>
      <c r="F57" s="255"/>
      <c r="G57" s="273"/>
      <c r="H57" s="273"/>
      <c r="I57" s="255"/>
      <c r="J57" s="273"/>
      <c r="K57" s="306"/>
      <c r="L57" s="273"/>
      <c r="M57" s="273"/>
      <c r="N57" s="306"/>
    </row>
    <row r="58" spans="2:14" ht="15">
      <c r="B58" s="35" t="s">
        <v>76</v>
      </c>
      <c r="C58" s="280"/>
      <c r="D58" s="253"/>
      <c r="E58" s="253"/>
      <c r="F58" s="255"/>
      <c r="G58" s="273"/>
      <c r="H58" s="273"/>
      <c r="I58" s="255"/>
      <c r="J58" s="273"/>
      <c r="K58" s="306"/>
      <c r="L58" s="273"/>
      <c r="M58" s="273"/>
      <c r="N58" s="306"/>
    </row>
    <row r="59" spans="2:14" ht="15">
      <c r="B59" s="35"/>
      <c r="C59" s="280"/>
      <c r="D59" s="253"/>
      <c r="E59" s="253"/>
      <c r="F59" s="255"/>
      <c r="G59" s="273"/>
      <c r="H59" s="273"/>
      <c r="I59" s="255"/>
      <c r="J59" s="273"/>
      <c r="K59" s="306"/>
      <c r="L59" s="273"/>
      <c r="M59" s="273"/>
      <c r="N59" s="306"/>
    </row>
    <row r="60" spans="2:14" ht="3" customHeight="1">
      <c r="B60" s="37"/>
      <c r="C60" s="277"/>
      <c r="D60" s="254"/>
      <c r="E60" s="254"/>
      <c r="F60" s="256"/>
      <c r="G60" s="274"/>
      <c r="H60" s="274"/>
      <c r="I60" s="256"/>
      <c r="J60" s="274"/>
      <c r="K60" s="307"/>
      <c r="L60" s="274"/>
      <c r="M60" s="274"/>
      <c r="N60" s="307"/>
    </row>
    <row r="61" spans="2:14" ht="60">
      <c r="B61" s="115" t="s">
        <v>113</v>
      </c>
      <c r="C61" s="70" t="s">
        <v>114</v>
      </c>
      <c r="D61" s="74">
        <v>5000</v>
      </c>
      <c r="E61" s="46">
        <v>4838</v>
      </c>
      <c r="F61" s="116">
        <v>0</v>
      </c>
      <c r="G61" s="48">
        <v>6450</v>
      </c>
      <c r="H61" s="48">
        <v>5165</v>
      </c>
      <c r="I61" s="75">
        <f>(H61/G61)*100</f>
        <v>80.07751937984496</v>
      </c>
      <c r="J61" s="48">
        <v>4598</v>
      </c>
      <c r="K61" s="215">
        <f>(J61/H61)*100</f>
        <v>89.02226524685382</v>
      </c>
      <c r="L61" s="48">
        <v>5165</v>
      </c>
      <c r="M61" s="48">
        <v>5470</v>
      </c>
      <c r="N61" s="215">
        <f>(M61/L61)*100</f>
        <v>105.90513068731849</v>
      </c>
    </row>
    <row r="62" spans="2:14" ht="30" hidden="1">
      <c r="B62" s="115" t="s">
        <v>109</v>
      </c>
      <c r="C62" s="70" t="s">
        <v>110</v>
      </c>
      <c r="D62" s="46"/>
      <c r="E62" s="46"/>
      <c r="F62" s="75"/>
      <c r="G62" s="48"/>
      <c r="H62" s="48">
        <v>0</v>
      </c>
      <c r="I62" s="75"/>
      <c r="J62" s="48">
        <v>6054</v>
      </c>
      <c r="K62" s="215">
        <v>0</v>
      </c>
      <c r="L62" s="48">
        <v>6054</v>
      </c>
      <c r="M62" s="48">
        <v>0</v>
      </c>
      <c r="N62" s="215">
        <v>0</v>
      </c>
    </row>
    <row r="63" spans="2:14" ht="15">
      <c r="B63" s="93"/>
      <c r="C63" s="117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2:14" ht="16.5" customHeight="1">
      <c r="B64" s="293" t="s">
        <v>10</v>
      </c>
      <c r="C64" s="296" t="s">
        <v>40</v>
      </c>
      <c r="D64" s="257">
        <f>SUM(D68)</f>
        <v>48193.48</v>
      </c>
      <c r="E64" s="257">
        <f>SUM(E68)</f>
        <v>45769</v>
      </c>
      <c r="F64" s="260">
        <f>(E64/D64)*100</f>
        <v>94.96927800192059</v>
      </c>
      <c r="G64" s="257">
        <f>SUM(G68)</f>
        <v>45769</v>
      </c>
      <c r="H64" s="257">
        <f>SUM(H68)</f>
        <v>71961</v>
      </c>
      <c r="I64" s="260">
        <f>(H64/G64)*100</f>
        <v>157.22650702440518</v>
      </c>
      <c r="J64" s="257">
        <f>SUM(J68)</f>
        <v>70395</v>
      </c>
      <c r="K64" s="308">
        <f>(J64/H64)*100</f>
        <v>97.82382123650311</v>
      </c>
      <c r="L64" s="257">
        <f>SUM(L68)</f>
        <v>125458</v>
      </c>
      <c r="M64" s="257">
        <f>SUM(M68)</f>
        <v>6383</v>
      </c>
      <c r="N64" s="308">
        <f>SUM(N68)</f>
        <v>5.087758453028105</v>
      </c>
    </row>
    <row r="65" spans="2:14" ht="15.75" customHeight="1">
      <c r="B65" s="294"/>
      <c r="C65" s="297"/>
      <c r="D65" s="258"/>
      <c r="E65" s="258"/>
      <c r="F65" s="246"/>
      <c r="G65" s="258"/>
      <c r="H65" s="258"/>
      <c r="I65" s="246"/>
      <c r="J65" s="258"/>
      <c r="K65" s="309"/>
      <c r="L65" s="258"/>
      <c r="M65" s="258"/>
      <c r="N65" s="309"/>
    </row>
    <row r="66" spans="2:14" ht="15.75" customHeight="1">
      <c r="B66" s="294"/>
      <c r="C66" s="297"/>
      <c r="D66" s="258"/>
      <c r="E66" s="258"/>
      <c r="F66" s="246"/>
      <c r="G66" s="258"/>
      <c r="H66" s="258"/>
      <c r="I66" s="246"/>
      <c r="J66" s="258"/>
      <c r="K66" s="309"/>
      <c r="L66" s="258"/>
      <c r="M66" s="258"/>
      <c r="N66" s="309"/>
    </row>
    <row r="67" spans="2:14" ht="5.25" customHeight="1">
      <c r="B67" s="295"/>
      <c r="C67" s="298"/>
      <c r="D67" s="259"/>
      <c r="E67" s="259"/>
      <c r="F67" s="247"/>
      <c r="G67" s="259"/>
      <c r="H67" s="259"/>
      <c r="I67" s="247"/>
      <c r="J67" s="259"/>
      <c r="K67" s="310"/>
      <c r="L67" s="259"/>
      <c r="M67" s="259"/>
      <c r="N67" s="310"/>
    </row>
    <row r="68" spans="2:14" ht="18" customHeight="1">
      <c r="B68" s="35" t="s">
        <v>39</v>
      </c>
      <c r="C68" s="277" t="s">
        <v>2</v>
      </c>
      <c r="D68" s="282">
        <f>(6340+41853.48)</f>
        <v>48193.48</v>
      </c>
      <c r="E68" s="282">
        <v>45769</v>
      </c>
      <c r="F68" s="252">
        <f>(E68/D68)*100</f>
        <v>94.96927800192059</v>
      </c>
      <c r="G68" s="281">
        <v>45769</v>
      </c>
      <c r="H68" s="281">
        <f>6259+18918+46784</f>
        <v>71961</v>
      </c>
      <c r="I68" s="252">
        <f>(H68/G68)*100</f>
        <v>157.22650702440518</v>
      </c>
      <c r="J68" s="281">
        <f>4693+18918+46784</f>
        <v>70395</v>
      </c>
      <c r="K68" s="305">
        <f>(J68/H68)*100</f>
        <v>97.82382123650311</v>
      </c>
      <c r="L68" s="281">
        <f>6259+18918+21420+32077+46784</f>
        <v>125458</v>
      </c>
      <c r="M68" s="281">
        <v>6383</v>
      </c>
      <c r="N68" s="305">
        <f>(M68/L68)*100</f>
        <v>5.087758453028105</v>
      </c>
    </row>
    <row r="69" spans="2:14" ht="15">
      <c r="B69" s="35"/>
      <c r="C69" s="278"/>
      <c r="D69" s="253"/>
      <c r="E69" s="253"/>
      <c r="F69" s="255"/>
      <c r="G69" s="273"/>
      <c r="H69" s="273"/>
      <c r="I69" s="255"/>
      <c r="J69" s="273"/>
      <c r="K69" s="306"/>
      <c r="L69" s="273"/>
      <c r="M69" s="273"/>
      <c r="N69" s="306"/>
    </row>
    <row r="70" spans="2:14" ht="15">
      <c r="B70" s="35" t="s">
        <v>78</v>
      </c>
      <c r="C70" s="278"/>
      <c r="D70" s="253"/>
      <c r="E70" s="253"/>
      <c r="F70" s="255"/>
      <c r="G70" s="273"/>
      <c r="H70" s="273"/>
      <c r="I70" s="255"/>
      <c r="J70" s="273"/>
      <c r="K70" s="306"/>
      <c r="L70" s="273"/>
      <c r="M70" s="273"/>
      <c r="N70" s="306"/>
    </row>
    <row r="71" spans="2:14" ht="15">
      <c r="B71" s="35"/>
      <c r="C71" s="278"/>
      <c r="D71" s="253"/>
      <c r="E71" s="253"/>
      <c r="F71" s="255"/>
      <c r="G71" s="273"/>
      <c r="H71" s="273"/>
      <c r="I71" s="255"/>
      <c r="J71" s="273"/>
      <c r="K71" s="306"/>
      <c r="L71" s="273"/>
      <c r="M71" s="273"/>
      <c r="N71" s="306"/>
    </row>
    <row r="72" spans="2:14" ht="6" customHeight="1">
      <c r="B72" s="37"/>
      <c r="C72" s="278"/>
      <c r="D72" s="254"/>
      <c r="E72" s="254"/>
      <c r="F72" s="256"/>
      <c r="G72" s="274"/>
      <c r="H72" s="274"/>
      <c r="I72" s="256"/>
      <c r="J72" s="274"/>
      <c r="K72" s="307"/>
      <c r="L72" s="274"/>
      <c r="M72" s="274"/>
      <c r="N72" s="307"/>
    </row>
    <row r="73" spans="2:14" ht="15">
      <c r="B73" s="103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2:14" ht="15.75">
      <c r="B74" s="118" t="s">
        <v>11</v>
      </c>
      <c r="C74" s="250" t="s">
        <v>38</v>
      </c>
      <c r="D74" s="264">
        <f>SUM(D75:D82)</f>
        <v>9000</v>
      </c>
      <c r="E74" s="264">
        <f>SUM(E76:E82)</f>
        <v>7295</v>
      </c>
      <c r="F74" s="261">
        <f>(E74/D74)*100</f>
        <v>81.05555555555556</v>
      </c>
      <c r="G74" s="264">
        <f>SUM(G76:G82)</f>
        <v>7500</v>
      </c>
      <c r="H74" s="264">
        <f>SUM(H76:H82)</f>
        <v>2500</v>
      </c>
      <c r="I74" s="261">
        <f>(H74/G74)*100</f>
        <v>33.33333333333333</v>
      </c>
      <c r="J74" s="264">
        <f>SUM(J76:J82)</f>
        <v>2628</v>
      </c>
      <c r="K74" s="302">
        <f>(J74/H74)*100</f>
        <v>105.11999999999999</v>
      </c>
      <c r="L74" s="264">
        <f>SUM(L76:L82)</f>
        <v>3000</v>
      </c>
      <c r="M74" s="264">
        <f>SUM(M76:M82)</f>
        <v>6000</v>
      </c>
      <c r="N74" s="302">
        <f>(M74/L74)*100</f>
        <v>200</v>
      </c>
    </row>
    <row r="75" spans="2:14" ht="15.75">
      <c r="B75" s="30"/>
      <c r="C75" s="251"/>
      <c r="D75" s="266"/>
      <c r="E75" s="266"/>
      <c r="F75" s="263"/>
      <c r="G75" s="266"/>
      <c r="H75" s="266"/>
      <c r="I75" s="263"/>
      <c r="J75" s="266"/>
      <c r="K75" s="304"/>
      <c r="L75" s="266"/>
      <c r="M75" s="266"/>
      <c r="N75" s="304"/>
    </row>
    <row r="76" spans="2:14" ht="30">
      <c r="B76" s="122" t="s">
        <v>79</v>
      </c>
      <c r="C76" s="123" t="s">
        <v>24</v>
      </c>
      <c r="D76" s="124">
        <v>3000</v>
      </c>
      <c r="E76" s="125">
        <v>1295</v>
      </c>
      <c r="F76" s="60">
        <f>(E76/D76)*100</f>
        <v>43.166666666666664</v>
      </c>
      <c r="G76" s="126">
        <v>1500</v>
      </c>
      <c r="H76" s="126">
        <v>1500</v>
      </c>
      <c r="I76" s="60">
        <f>(H76/G76)*100</f>
        <v>100</v>
      </c>
      <c r="J76" s="126">
        <v>1628</v>
      </c>
      <c r="K76" s="214">
        <f>(J76/H76)*100</f>
        <v>108.53333333333333</v>
      </c>
      <c r="L76" s="126">
        <v>2000</v>
      </c>
      <c r="M76" s="126">
        <v>5000</v>
      </c>
      <c r="N76" s="214">
        <f>(M76/L76)*100</f>
        <v>250</v>
      </c>
    </row>
    <row r="77" spans="2:14" ht="78" customHeight="1" hidden="1">
      <c r="B77" s="127" t="s">
        <v>123</v>
      </c>
      <c r="C77" s="128" t="s">
        <v>124</v>
      </c>
      <c r="D77" s="129">
        <v>5000</v>
      </c>
      <c r="E77" s="130">
        <v>5000</v>
      </c>
      <c r="F77" s="75">
        <f>(E77/D77)*100</f>
        <v>100</v>
      </c>
      <c r="G77" s="131">
        <v>5000</v>
      </c>
      <c r="H77" s="101">
        <v>0</v>
      </c>
      <c r="I77" s="75">
        <f>(H77/G77)*100</f>
        <v>0</v>
      </c>
      <c r="J77" s="101">
        <v>0</v>
      </c>
      <c r="K77" s="213">
        <v>0</v>
      </c>
      <c r="L77" s="101">
        <v>0</v>
      </c>
      <c r="M77" s="101">
        <v>0</v>
      </c>
      <c r="N77" s="213">
        <v>0</v>
      </c>
    </row>
    <row r="78" spans="2:14" ht="15">
      <c r="B78" s="248" t="s">
        <v>78</v>
      </c>
      <c r="C78" s="277" t="s">
        <v>2</v>
      </c>
      <c r="D78" s="282">
        <v>1000</v>
      </c>
      <c r="E78" s="253">
        <v>1000</v>
      </c>
      <c r="F78" s="255">
        <f>(E78/D78)*100</f>
        <v>100</v>
      </c>
      <c r="G78" s="273">
        <v>1000</v>
      </c>
      <c r="H78" s="273">
        <v>1000</v>
      </c>
      <c r="I78" s="255">
        <f>(H78/G78)*100</f>
        <v>100</v>
      </c>
      <c r="J78" s="273">
        <v>1000</v>
      </c>
      <c r="K78" s="306">
        <f>(J78/H78)*100</f>
        <v>100</v>
      </c>
      <c r="L78" s="273">
        <v>1000</v>
      </c>
      <c r="M78" s="273">
        <v>1000</v>
      </c>
      <c r="N78" s="306">
        <f>(M78/L78)*100</f>
        <v>100</v>
      </c>
    </row>
    <row r="79" spans="2:14" ht="15" customHeight="1">
      <c r="B79" s="248"/>
      <c r="C79" s="278"/>
      <c r="D79" s="253"/>
      <c r="E79" s="253"/>
      <c r="F79" s="255"/>
      <c r="G79" s="273"/>
      <c r="H79" s="273"/>
      <c r="I79" s="255"/>
      <c r="J79" s="273"/>
      <c r="K79" s="306"/>
      <c r="L79" s="273"/>
      <c r="M79" s="273"/>
      <c r="N79" s="306"/>
    </row>
    <row r="80" spans="2:14" ht="15" customHeight="1">
      <c r="B80" s="248"/>
      <c r="C80" s="278"/>
      <c r="D80" s="253"/>
      <c r="E80" s="253"/>
      <c r="F80" s="255"/>
      <c r="G80" s="273"/>
      <c r="H80" s="273"/>
      <c r="I80" s="255"/>
      <c r="J80" s="273"/>
      <c r="K80" s="306"/>
      <c r="L80" s="273"/>
      <c r="M80" s="273"/>
      <c r="N80" s="306"/>
    </row>
    <row r="81" spans="2:14" ht="15" customHeight="1">
      <c r="B81" s="248"/>
      <c r="C81" s="278"/>
      <c r="D81" s="253"/>
      <c r="E81" s="253"/>
      <c r="F81" s="255"/>
      <c r="G81" s="273"/>
      <c r="H81" s="273"/>
      <c r="I81" s="255"/>
      <c r="J81" s="273"/>
      <c r="K81" s="306"/>
      <c r="L81" s="273"/>
      <c r="M81" s="273"/>
      <c r="N81" s="306"/>
    </row>
    <row r="82" spans="2:14" ht="6" customHeight="1">
      <c r="B82" s="249"/>
      <c r="C82" s="278"/>
      <c r="D82" s="254"/>
      <c r="E82" s="254"/>
      <c r="F82" s="256"/>
      <c r="G82" s="274"/>
      <c r="H82" s="274"/>
      <c r="I82" s="256"/>
      <c r="J82" s="274"/>
      <c r="K82" s="307"/>
      <c r="L82" s="274"/>
      <c r="M82" s="274"/>
      <c r="N82" s="307"/>
    </row>
    <row r="83" spans="2:14" ht="12" customHeight="1">
      <c r="B83" s="72"/>
      <c r="C83" s="13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2:14" ht="33.75" customHeight="1">
      <c r="B84" s="118" t="s">
        <v>12</v>
      </c>
      <c r="C84" s="299" t="s">
        <v>99</v>
      </c>
      <c r="D84" s="264">
        <f>SUM(D88:D123)</f>
        <v>25439385</v>
      </c>
      <c r="E84" s="286">
        <f>SUM(E88:E123)</f>
        <v>20643221</v>
      </c>
      <c r="F84" s="261">
        <f>(E84/D84)*100</f>
        <v>81.14669831837523</v>
      </c>
      <c r="G84" s="264">
        <f>SUM(G88:G123)</f>
        <v>28434893</v>
      </c>
      <c r="H84" s="257">
        <f>SUM(H88:H123)</f>
        <v>29029998</v>
      </c>
      <c r="I84" s="260">
        <f>(H84/G84)*100</f>
        <v>102.09286878624795</v>
      </c>
      <c r="J84" s="257">
        <f>SUM(J88:J123)</f>
        <v>20095575</v>
      </c>
      <c r="K84" s="308">
        <f>(J84/H84)*100</f>
        <v>69.2234804838774</v>
      </c>
      <c r="L84" s="257">
        <f>SUM(L88:L123)</f>
        <v>27287076</v>
      </c>
      <c r="M84" s="257">
        <f>SUM(M88:M123)</f>
        <v>29737923</v>
      </c>
      <c r="N84" s="308">
        <f>(M84/L84)*100</f>
        <v>108.98171354087187</v>
      </c>
    </row>
    <row r="85" spans="2:14" ht="15.75">
      <c r="B85" s="119"/>
      <c r="C85" s="300"/>
      <c r="D85" s="265"/>
      <c r="E85" s="287"/>
      <c r="F85" s="262"/>
      <c r="G85" s="265"/>
      <c r="H85" s="258"/>
      <c r="I85" s="246"/>
      <c r="J85" s="258"/>
      <c r="K85" s="309"/>
      <c r="L85" s="258"/>
      <c r="M85" s="258"/>
      <c r="N85" s="309"/>
    </row>
    <row r="86" spans="2:14" ht="14.25" customHeight="1">
      <c r="B86" s="30"/>
      <c r="C86" s="301"/>
      <c r="D86" s="266"/>
      <c r="E86" s="288"/>
      <c r="F86" s="263"/>
      <c r="G86" s="266"/>
      <c r="H86" s="259"/>
      <c r="I86" s="247"/>
      <c r="J86" s="259"/>
      <c r="K86" s="310"/>
      <c r="L86" s="259"/>
      <c r="M86" s="259"/>
      <c r="N86" s="310"/>
    </row>
    <row r="87" spans="2:14" ht="15">
      <c r="B87" s="35"/>
      <c r="C87" s="27"/>
      <c r="D87" s="82"/>
      <c r="E87" s="83"/>
      <c r="F87" s="85"/>
      <c r="G87" s="63"/>
      <c r="H87" s="85"/>
      <c r="I87" s="85"/>
      <c r="J87" s="85"/>
      <c r="K87" s="85"/>
      <c r="L87" s="85"/>
      <c r="M87" s="85"/>
      <c r="N87" s="85"/>
    </row>
    <row r="88" spans="2:14" ht="15">
      <c r="B88" s="35" t="s">
        <v>80</v>
      </c>
      <c r="C88" s="28" t="s">
        <v>13</v>
      </c>
      <c r="D88" s="51">
        <v>11505685</v>
      </c>
      <c r="E88" s="52">
        <v>7560649</v>
      </c>
      <c r="F88" s="49">
        <f>(E88/D88)*100</f>
        <v>65.71228918573732</v>
      </c>
      <c r="G88" s="53">
        <v>10860600</v>
      </c>
      <c r="H88" s="86">
        <v>11831818</v>
      </c>
      <c r="I88" s="49">
        <f>(H88/G88)*100</f>
        <v>108.94258144117268</v>
      </c>
      <c r="J88" s="86">
        <v>8367249</v>
      </c>
      <c r="K88" s="217">
        <f>(J88/H88)*100</f>
        <v>70.7182023929036</v>
      </c>
      <c r="L88" s="86">
        <v>11831818</v>
      </c>
      <c r="M88" s="86">
        <v>14306463</v>
      </c>
      <c r="N88" s="217">
        <f>(M88/L88)*100</f>
        <v>120.91517127798956</v>
      </c>
    </row>
    <row r="89" spans="2:14" ht="15">
      <c r="B89" s="35"/>
      <c r="C89" s="28"/>
      <c r="D89" s="82"/>
      <c r="E89" s="52"/>
      <c r="F89" s="83"/>
      <c r="G89" s="133"/>
      <c r="H89" s="83"/>
      <c r="I89" s="83"/>
      <c r="J89" s="83"/>
      <c r="K89" s="83"/>
      <c r="L89" s="83"/>
      <c r="M89" s="83"/>
      <c r="N89" s="83"/>
    </row>
    <row r="90" spans="2:14" ht="15">
      <c r="B90" s="35" t="s">
        <v>81</v>
      </c>
      <c r="C90" s="28" t="s">
        <v>14</v>
      </c>
      <c r="D90" s="51">
        <v>255000</v>
      </c>
      <c r="E90" s="52">
        <v>216957</v>
      </c>
      <c r="F90" s="49">
        <f>(E90/D90)*100</f>
        <v>85.08117647058823</v>
      </c>
      <c r="G90" s="53">
        <v>289200</v>
      </c>
      <c r="H90" s="86">
        <v>296430</v>
      </c>
      <c r="I90" s="49">
        <f>(H90/G90)*100</f>
        <v>102.49999999999999</v>
      </c>
      <c r="J90" s="86">
        <v>304350</v>
      </c>
      <c r="K90" s="217">
        <f>(J90/H90)*100</f>
        <v>102.6717943527983</v>
      </c>
      <c r="L90" s="86">
        <v>405800</v>
      </c>
      <c r="M90" s="86">
        <v>415945</v>
      </c>
      <c r="N90" s="217">
        <f>(M90/L90)*100</f>
        <v>102.49999999999999</v>
      </c>
    </row>
    <row r="91" spans="2:14" ht="15">
      <c r="B91" s="35"/>
      <c r="C91" s="28"/>
      <c r="D91" s="51"/>
      <c r="E91" s="52"/>
      <c r="F91" s="49"/>
      <c r="G91" s="53"/>
      <c r="H91" s="86"/>
      <c r="I91" s="49"/>
      <c r="J91" s="86"/>
      <c r="K91" s="86"/>
      <c r="L91" s="86"/>
      <c r="M91" s="86"/>
      <c r="N91" s="86"/>
    </row>
    <row r="92" spans="2:14" ht="15" hidden="1">
      <c r="B92" s="35" t="s">
        <v>103</v>
      </c>
      <c r="C92" s="28" t="s">
        <v>104</v>
      </c>
      <c r="D92" s="51">
        <v>0</v>
      </c>
      <c r="E92" s="52">
        <v>-29444</v>
      </c>
      <c r="F92" s="49">
        <v>0</v>
      </c>
      <c r="G92" s="53">
        <v>-29444</v>
      </c>
      <c r="H92" s="86">
        <v>0</v>
      </c>
      <c r="I92" s="49">
        <f>(H92/G92)*100</f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</row>
    <row r="93" spans="2:14" ht="15" hidden="1">
      <c r="B93" s="35"/>
      <c r="C93" s="28"/>
      <c r="D93" s="82"/>
      <c r="E93" s="52"/>
      <c r="F93" s="83"/>
      <c r="G93" s="133"/>
      <c r="H93" s="52"/>
      <c r="I93" s="83"/>
      <c r="J93" s="52"/>
      <c r="K93" s="52"/>
      <c r="L93" s="52"/>
      <c r="M93" s="52"/>
      <c r="N93" s="52"/>
    </row>
    <row r="94" spans="2:14" ht="15">
      <c r="B94" s="35" t="s">
        <v>82</v>
      </c>
      <c r="C94" s="28" t="s">
        <v>15</v>
      </c>
      <c r="D94" s="51">
        <v>11771000</v>
      </c>
      <c r="E94" s="52">
        <v>10886122</v>
      </c>
      <c r="F94" s="49">
        <f>(E94/D94)*100</f>
        <v>92.4825588310254</v>
      </c>
      <c r="G94" s="53">
        <v>14716920</v>
      </c>
      <c r="H94" s="86">
        <f>12000000+2227000</f>
        <v>14227000</v>
      </c>
      <c r="I94" s="49">
        <f>(H94/G94)*100</f>
        <v>96.67104258227944</v>
      </c>
      <c r="J94" s="86">
        <f>7833000+1735865</f>
        <v>9568865</v>
      </c>
      <c r="K94" s="217">
        <f>(J94/H94)*100</f>
        <v>67.25848738314473</v>
      </c>
      <c r="L94" s="86">
        <f>10413000+2275865</f>
        <v>12688865</v>
      </c>
      <c r="M94" s="86">
        <f>13006087-340000</f>
        <v>12666087</v>
      </c>
      <c r="N94" s="217">
        <f>(M94/L94)*100</f>
        <v>99.82048827850245</v>
      </c>
    </row>
    <row r="95" spans="2:14" ht="15">
      <c r="B95" s="35"/>
      <c r="C95" s="28"/>
      <c r="D95" s="82"/>
      <c r="E95" s="52"/>
      <c r="F95" s="83"/>
      <c r="G95" s="133"/>
      <c r="H95" s="52"/>
      <c r="I95" s="83"/>
      <c r="J95" s="52"/>
      <c r="K95" s="52"/>
      <c r="L95" s="52"/>
      <c r="M95" s="52"/>
      <c r="N95" s="52"/>
    </row>
    <row r="96" spans="2:14" ht="15">
      <c r="B96" s="35" t="s">
        <v>83</v>
      </c>
      <c r="C96" s="28" t="s">
        <v>16</v>
      </c>
      <c r="D96" s="51">
        <v>23500</v>
      </c>
      <c r="E96" s="52">
        <v>21107</v>
      </c>
      <c r="F96" s="49">
        <f>(E96/D96)*100</f>
        <v>89.81702127659574</v>
      </c>
      <c r="G96" s="53">
        <v>24907</v>
      </c>
      <c r="H96" s="86">
        <f>7500+18200</f>
        <v>25700</v>
      </c>
      <c r="I96" s="49">
        <f>(H96/G96)*100</f>
        <v>103.18384389930542</v>
      </c>
      <c r="J96" s="86">
        <f>3904+16696</f>
        <v>20600</v>
      </c>
      <c r="K96" s="217">
        <f>(J96/H96)*100</f>
        <v>80.1556420233463</v>
      </c>
      <c r="L96" s="86">
        <f>5432+20236</f>
        <v>25668</v>
      </c>
      <c r="M96" s="86">
        <v>19469</v>
      </c>
      <c r="N96" s="217">
        <f>(M96/L96)*100</f>
        <v>75.84930652953093</v>
      </c>
    </row>
    <row r="97" spans="2:14" ht="15">
      <c r="B97" s="35"/>
      <c r="C97" s="28"/>
      <c r="D97" s="51"/>
      <c r="E97" s="52"/>
      <c r="F97" s="49"/>
      <c r="G97" s="53"/>
      <c r="H97" s="86"/>
      <c r="I97" s="49"/>
      <c r="J97" s="86"/>
      <c r="K97" s="86"/>
      <c r="L97" s="86"/>
      <c r="M97" s="86"/>
      <c r="N97" s="86"/>
    </row>
    <row r="98" spans="2:14" ht="15" hidden="1">
      <c r="B98" s="35" t="s">
        <v>111</v>
      </c>
      <c r="C98" s="28" t="s">
        <v>112</v>
      </c>
      <c r="D98" s="51">
        <v>0</v>
      </c>
      <c r="E98" s="52">
        <v>41</v>
      </c>
      <c r="F98" s="49">
        <v>0</v>
      </c>
      <c r="G98" s="53">
        <v>44</v>
      </c>
      <c r="H98" s="86">
        <v>0</v>
      </c>
      <c r="I98" s="49">
        <f>(H98/G98)*100</f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</row>
    <row r="99" spans="2:14" ht="15" hidden="1">
      <c r="B99" s="35"/>
      <c r="C99" s="28"/>
      <c r="D99" s="51"/>
      <c r="E99" s="52"/>
      <c r="F99" s="49"/>
      <c r="G99" s="53"/>
      <c r="H99" s="86"/>
      <c r="I99" s="49"/>
      <c r="J99" s="86"/>
      <c r="K99" s="86"/>
      <c r="L99" s="86"/>
      <c r="M99" s="86"/>
      <c r="N99" s="86"/>
    </row>
    <row r="100" spans="2:14" ht="15">
      <c r="B100" s="35" t="s">
        <v>111</v>
      </c>
      <c r="C100" s="28" t="s">
        <v>112</v>
      </c>
      <c r="D100" s="51"/>
      <c r="E100" s="52"/>
      <c r="F100" s="49"/>
      <c r="G100" s="53"/>
      <c r="H100" s="86">
        <v>0</v>
      </c>
      <c r="I100" s="49"/>
      <c r="J100" s="86">
        <v>29</v>
      </c>
      <c r="K100" s="217">
        <v>0</v>
      </c>
      <c r="L100" s="86">
        <v>29</v>
      </c>
      <c r="M100" s="86">
        <v>29</v>
      </c>
      <c r="N100" s="217">
        <f>(M100/L100)*100</f>
        <v>100</v>
      </c>
    </row>
    <row r="101" spans="2:14" ht="15">
      <c r="B101" s="35"/>
      <c r="C101" s="28"/>
      <c r="D101" s="51"/>
      <c r="E101" s="52"/>
      <c r="F101" s="49"/>
      <c r="G101" s="53"/>
      <c r="H101" s="86"/>
      <c r="I101" s="49"/>
      <c r="J101" s="86"/>
      <c r="K101" s="86"/>
      <c r="L101" s="86"/>
      <c r="M101" s="86"/>
      <c r="N101" s="86"/>
    </row>
    <row r="102" spans="2:14" ht="15">
      <c r="B102" s="35" t="s">
        <v>84</v>
      </c>
      <c r="C102" s="28" t="s">
        <v>22</v>
      </c>
      <c r="D102" s="51">
        <v>470000</v>
      </c>
      <c r="E102" s="52">
        <v>415895</v>
      </c>
      <c r="F102" s="49">
        <f>(E102/D102)*100</f>
        <v>88.48829787234042</v>
      </c>
      <c r="G102" s="53">
        <v>442895</v>
      </c>
      <c r="H102" s="86">
        <f>310000+147000</f>
        <v>457000</v>
      </c>
      <c r="I102" s="49">
        <f>(H102/G102)*100</f>
        <v>103.18472775714334</v>
      </c>
      <c r="J102" s="86">
        <f>267344+157072</f>
        <v>424416</v>
      </c>
      <c r="K102" s="217">
        <f>(J102/H102)*100</f>
        <v>92.87002188183807</v>
      </c>
      <c r="L102" s="86">
        <v>480000</v>
      </c>
      <c r="M102" s="86">
        <v>489455</v>
      </c>
      <c r="N102" s="217">
        <f>(M102/L102)*100</f>
        <v>101.96979166666667</v>
      </c>
    </row>
    <row r="103" spans="2:14" ht="15">
      <c r="B103" s="35"/>
      <c r="C103" s="28"/>
      <c r="D103" s="82"/>
      <c r="E103" s="52"/>
      <c r="F103" s="83"/>
      <c r="G103" s="133"/>
      <c r="H103" s="52"/>
      <c r="I103" s="83"/>
      <c r="J103" s="52"/>
      <c r="K103" s="52"/>
      <c r="L103" s="52"/>
      <c r="M103" s="52"/>
      <c r="N103" s="52"/>
    </row>
    <row r="104" spans="2:14" ht="15">
      <c r="B104" s="35" t="s">
        <v>85</v>
      </c>
      <c r="C104" s="28" t="s">
        <v>23</v>
      </c>
      <c r="D104" s="51">
        <v>150000</v>
      </c>
      <c r="E104" s="52">
        <v>102053</v>
      </c>
      <c r="F104" s="49">
        <f>(E104/D104)*100</f>
        <v>68.03533333333334</v>
      </c>
      <c r="G104" s="53">
        <v>136000</v>
      </c>
      <c r="H104" s="86">
        <v>140080</v>
      </c>
      <c r="I104" s="49">
        <f>(H104/G104)*100</f>
        <v>103</v>
      </c>
      <c r="J104" s="86">
        <v>94632</v>
      </c>
      <c r="K104" s="217">
        <f>(J104/H104)*100</f>
        <v>67.55568246716163</v>
      </c>
      <c r="L104" s="86">
        <v>126176</v>
      </c>
      <c r="M104" s="86">
        <v>129330</v>
      </c>
      <c r="N104" s="217">
        <f>(M104/L104)*100</f>
        <v>102.49968298250063</v>
      </c>
    </row>
    <row r="105" spans="2:14" ht="15">
      <c r="B105" s="35"/>
      <c r="C105" s="28" t="s">
        <v>17</v>
      </c>
      <c r="D105" s="82"/>
      <c r="E105" s="52"/>
      <c r="F105" s="83"/>
      <c r="G105" s="133"/>
      <c r="H105" s="52"/>
      <c r="I105" s="83"/>
      <c r="J105" s="52"/>
      <c r="K105" s="52"/>
      <c r="L105" s="52"/>
      <c r="M105" s="52"/>
      <c r="N105" s="52"/>
    </row>
    <row r="106" spans="2:14" ht="15">
      <c r="B106" s="35"/>
      <c r="C106" s="28"/>
      <c r="D106" s="82"/>
      <c r="E106" s="52"/>
      <c r="F106" s="83"/>
      <c r="G106" s="133"/>
      <c r="H106" s="52"/>
      <c r="I106" s="83"/>
      <c r="J106" s="52"/>
      <c r="K106" s="52"/>
      <c r="L106" s="52"/>
      <c r="M106" s="52"/>
      <c r="N106" s="52"/>
    </row>
    <row r="107" spans="2:14" ht="15">
      <c r="B107" s="35" t="s">
        <v>86</v>
      </c>
      <c r="C107" s="28" t="s">
        <v>18</v>
      </c>
      <c r="D107" s="51">
        <v>106000</v>
      </c>
      <c r="E107" s="52">
        <v>77080</v>
      </c>
      <c r="F107" s="49">
        <f>(E107/D107)*100</f>
        <v>72.71698113207547</v>
      </c>
      <c r="G107" s="53">
        <v>103000</v>
      </c>
      <c r="H107" s="86">
        <v>106090</v>
      </c>
      <c r="I107" s="49">
        <f>(H107/G107)*100</f>
        <v>103</v>
      </c>
      <c r="J107" s="86">
        <v>124583</v>
      </c>
      <c r="K107" s="217">
        <f>(J107/H107)*100</f>
        <v>117.43142614761052</v>
      </c>
      <c r="L107" s="86">
        <v>150000</v>
      </c>
      <c r="M107" s="86">
        <v>153750</v>
      </c>
      <c r="N107" s="217">
        <f>(M107/L107)*100</f>
        <v>102.49999999999999</v>
      </c>
    </row>
    <row r="108" spans="2:14" ht="15">
      <c r="B108" s="35"/>
      <c r="C108" s="28"/>
      <c r="D108" s="82"/>
      <c r="E108" s="52"/>
      <c r="F108" s="83"/>
      <c r="G108" s="133"/>
      <c r="H108" s="52"/>
      <c r="I108" s="83"/>
      <c r="J108" s="52"/>
      <c r="K108" s="52"/>
      <c r="L108" s="52"/>
      <c r="M108" s="52"/>
      <c r="N108" s="52"/>
    </row>
    <row r="109" spans="2:14" ht="15">
      <c r="B109" s="35" t="s">
        <v>87</v>
      </c>
      <c r="C109" s="28" t="s">
        <v>19</v>
      </c>
      <c r="D109" s="51">
        <v>32000</v>
      </c>
      <c r="E109" s="52">
        <v>30581</v>
      </c>
      <c r="F109" s="49">
        <f>(E109/D109)*100</f>
        <v>95.565625</v>
      </c>
      <c r="G109" s="53">
        <v>30881</v>
      </c>
      <c r="H109" s="86">
        <v>31000</v>
      </c>
      <c r="I109" s="49">
        <f>(H109/G109)*100</f>
        <v>100.38535021534275</v>
      </c>
      <c r="J109" s="86">
        <v>28677</v>
      </c>
      <c r="K109" s="217">
        <f>(J109/H109)*100</f>
        <v>92.50645161290323</v>
      </c>
      <c r="L109" s="86">
        <v>30177</v>
      </c>
      <c r="M109" s="86">
        <f>30931-18400</f>
        <v>12531</v>
      </c>
      <c r="N109" s="217">
        <f>(M109/L109)*100</f>
        <v>41.525002485336515</v>
      </c>
    </row>
    <row r="110" spans="2:14" ht="15">
      <c r="B110" s="35"/>
      <c r="C110" s="28"/>
      <c r="D110" s="82"/>
      <c r="E110" s="52"/>
      <c r="F110" s="83"/>
      <c r="G110" s="133"/>
      <c r="H110" s="52"/>
      <c r="I110" s="83"/>
      <c r="J110" s="52"/>
      <c r="K110" s="52"/>
      <c r="L110" s="52"/>
      <c r="M110" s="52"/>
      <c r="N110" s="52"/>
    </row>
    <row r="111" spans="2:14" ht="15">
      <c r="B111" s="35" t="s">
        <v>88</v>
      </c>
      <c r="C111" s="28" t="s">
        <v>20</v>
      </c>
      <c r="D111" s="51">
        <v>450000</v>
      </c>
      <c r="E111" s="52">
        <v>560798</v>
      </c>
      <c r="F111" s="49">
        <f>(E111/D111)*100</f>
        <v>124.6217777777778</v>
      </c>
      <c r="G111" s="53">
        <v>780800</v>
      </c>
      <c r="H111" s="86">
        <v>804220</v>
      </c>
      <c r="I111" s="49">
        <f>(H111/G111)*100</f>
        <v>102.99948770491802</v>
      </c>
      <c r="J111" s="86">
        <v>625993</v>
      </c>
      <c r="K111" s="217">
        <f>(J111/H111)*100</f>
        <v>77.8385267712815</v>
      </c>
      <c r="L111" s="86">
        <v>835961</v>
      </c>
      <c r="M111" s="86">
        <v>856860</v>
      </c>
      <c r="N111" s="217">
        <f>(M111/L111)*100</f>
        <v>102.49999700942986</v>
      </c>
    </row>
    <row r="112" spans="2:14" ht="15">
      <c r="B112" s="35"/>
      <c r="C112" s="28"/>
      <c r="D112" s="82"/>
      <c r="E112" s="52"/>
      <c r="F112" s="83"/>
      <c r="G112" s="133"/>
      <c r="H112" s="52"/>
      <c r="I112" s="83"/>
      <c r="J112" s="52"/>
      <c r="K112" s="52"/>
      <c r="L112" s="52"/>
      <c r="M112" s="52"/>
      <c r="N112" s="52"/>
    </row>
    <row r="113" spans="2:14" ht="15">
      <c r="B113" s="35" t="s">
        <v>89</v>
      </c>
      <c r="C113" s="28" t="s">
        <v>25</v>
      </c>
      <c r="D113" s="51">
        <v>50000</v>
      </c>
      <c r="E113" s="52">
        <v>20090</v>
      </c>
      <c r="F113" s="49">
        <f>(E113/D113)*100</f>
        <v>40.18</v>
      </c>
      <c r="G113" s="53">
        <v>40090</v>
      </c>
      <c r="H113" s="86">
        <v>41370</v>
      </c>
      <c r="I113" s="49">
        <f>(H113/G113)*100</f>
        <v>103.19281616363183</v>
      </c>
      <c r="J113" s="86">
        <v>19055</v>
      </c>
      <c r="K113" s="217">
        <f>(J113/H113)*100</f>
        <v>46.05994682136814</v>
      </c>
      <c r="L113" s="86">
        <v>40000</v>
      </c>
      <c r="M113" s="86">
        <f>41000-24000</f>
        <v>17000</v>
      </c>
      <c r="N113" s="217">
        <f>(M113/L113)*100</f>
        <v>42.5</v>
      </c>
    </row>
    <row r="114" spans="2:14" ht="15">
      <c r="B114" s="35"/>
      <c r="C114" s="28"/>
      <c r="D114" s="82"/>
      <c r="E114" s="52"/>
      <c r="F114" s="83"/>
      <c r="G114" s="133"/>
      <c r="H114" s="52"/>
      <c r="I114" s="83"/>
      <c r="J114" s="52"/>
      <c r="K114" s="52"/>
      <c r="L114" s="52"/>
      <c r="M114" s="52"/>
      <c r="N114" s="52"/>
    </row>
    <row r="115" spans="2:14" ht="15">
      <c r="B115" s="35" t="s">
        <v>90</v>
      </c>
      <c r="C115" s="28" t="s">
        <v>51</v>
      </c>
      <c r="D115" s="51">
        <v>1200</v>
      </c>
      <c r="E115" s="52">
        <v>3123</v>
      </c>
      <c r="F115" s="49">
        <f>(E115/D115)*100</f>
        <v>260.25</v>
      </c>
      <c r="G115" s="53">
        <v>3500</v>
      </c>
      <c r="H115" s="86">
        <v>3610</v>
      </c>
      <c r="I115" s="49">
        <f>(H115/G115)*100</f>
        <v>103.14285714285714</v>
      </c>
      <c r="J115" s="86">
        <v>3260</v>
      </c>
      <c r="K115" s="217">
        <f>(J115/H115)*100</f>
        <v>90.30470914127424</v>
      </c>
      <c r="L115" s="86">
        <v>3610</v>
      </c>
      <c r="M115" s="86">
        <v>3700</v>
      </c>
      <c r="N115" s="217">
        <f>(M115/L115)*100</f>
        <v>102.49307479224376</v>
      </c>
    </row>
    <row r="116" spans="2:14" ht="15">
      <c r="B116" s="35"/>
      <c r="C116" s="28"/>
      <c r="D116" s="51"/>
      <c r="E116" s="52"/>
      <c r="F116" s="49"/>
      <c r="G116" s="53"/>
      <c r="H116" s="86"/>
      <c r="I116" s="49"/>
      <c r="J116" s="86"/>
      <c r="K116" s="86"/>
      <c r="L116" s="86"/>
      <c r="M116" s="86"/>
      <c r="N116" s="86"/>
    </row>
    <row r="117" spans="2:14" ht="15">
      <c r="B117" s="35" t="s">
        <v>91</v>
      </c>
      <c r="C117" s="28" t="s">
        <v>148</v>
      </c>
      <c r="D117" s="51">
        <v>45000</v>
      </c>
      <c r="E117" s="52">
        <v>35200</v>
      </c>
      <c r="F117" s="49">
        <f>(E117/D117)*100</f>
        <v>78.22222222222223</v>
      </c>
      <c r="G117" s="53">
        <v>45000</v>
      </c>
      <c r="H117" s="86">
        <v>45000</v>
      </c>
      <c r="I117" s="49">
        <f>(H117/G117)*100</f>
        <v>100</v>
      </c>
      <c r="J117" s="86">
        <v>35850</v>
      </c>
      <c r="K117" s="217">
        <f>(J117/H117)*100</f>
        <v>79.66666666666666</v>
      </c>
      <c r="L117" s="86">
        <v>45000</v>
      </c>
      <c r="M117" s="86">
        <v>45000</v>
      </c>
      <c r="N117" s="217">
        <f>(M117/L117)*100</f>
        <v>100</v>
      </c>
    </row>
    <row r="118" spans="2:14" ht="15">
      <c r="B118" s="35"/>
      <c r="C118" s="28"/>
      <c r="D118" s="82"/>
      <c r="E118" s="52"/>
      <c r="F118" s="83"/>
      <c r="G118" s="133" t="s">
        <v>39</v>
      </c>
      <c r="H118" s="52"/>
      <c r="I118" s="83"/>
      <c r="J118" s="52"/>
      <c r="K118" s="52"/>
      <c r="L118" s="52"/>
      <c r="M118" s="52"/>
      <c r="N118" s="52"/>
    </row>
    <row r="119" spans="2:14" ht="15">
      <c r="B119" s="35" t="s">
        <v>92</v>
      </c>
      <c r="C119" s="50" t="s">
        <v>43</v>
      </c>
      <c r="D119" s="51">
        <v>470000</v>
      </c>
      <c r="E119" s="52">
        <v>568234</v>
      </c>
      <c r="F119" s="49">
        <f>(E119/D119)*100</f>
        <v>120.90085106382979</v>
      </c>
      <c r="G119" s="53">
        <v>757600</v>
      </c>
      <c r="H119" s="86">
        <f>156000+624330</f>
        <v>780330</v>
      </c>
      <c r="I119" s="49">
        <f>(H119/G119)*100</f>
        <v>103.00026399155226</v>
      </c>
      <c r="J119" s="86">
        <f>382396+12438</f>
        <v>394834</v>
      </c>
      <c r="K119" s="217">
        <f>(J119/H119)*100</f>
        <v>50.59833660118155</v>
      </c>
      <c r="L119" s="86">
        <v>526445</v>
      </c>
      <c r="M119" s="86">
        <v>539606</v>
      </c>
      <c r="N119" s="217">
        <f>(M119/L119)*100</f>
        <v>102.49997625582918</v>
      </c>
    </row>
    <row r="120" spans="2:14" ht="15">
      <c r="B120" s="35"/>
      <c r="C120" s="50"/>
      <c r="D120" s="51"/>
      <c r="E120" s="52"/>
      <c r="F120" s="49"/>
      <c r="G120" s="53"/>
      <c r="H120" s="86"/>
      <c r="I120" s="49"/>
      <c r="J120" s="86"/>
      <c r="K120" s="217"/>
      <c r="L120" s="86"/>
      <c r="M120" s="86"/>
      <c r="N120" s="217"/>
    </row>
    <row r="121" spans="2:14" ht="30" hidden="1">
      <c r="B121" s="35" t="s">
        <v>149</v>
      </c>
      <c r="C121" s="50" t="s">
        <v>150</v>
      </c>
      <c r="D121" s="51"/>
      <c r="E121" s="52"/>
      <c r="F121" s="49"/>
      <c r="G121" s="53"/>
      <c r="H121" s="86">
        <v>0</v>
      </c>
      <c r="I121" s="49"/>
      <c r="J121" s="86">
        <v>16846</v>
      </c>
      <c r="K121" s="217">
        <v>0</v>
      </c>
      <c r="L121" s="86">
        <v>16846</v>
      </c>
      <c r="M121" s="86">
        <v>0</v>
      </c>
      <c r="N121" s="217">
        <f>(M121/L121)*100</f>
        <v>0</v>
      </c>
    </row>
    <row r="122" spans="2:14" ht="15" hidden="1">
      <c r="B122" s="35"/>
      <c r="C122" s="50"/>
      <c r="D122" s="51"/>
      <c r="E122" s="52"/>
      <c r="F122" s="49"/>
      <c r="G122" s="53"/>
      <c r="H122" s="86"/>
      <c r="I122" s="49"/>
      <c r="J122" s="86"/>
      <c r="K122" s="86"/>
      <c r="L122" s="86"/>
      <c r="M122" s="86"/>
      <c r="N122" s="86"/>
    </row>
    <row r="123" spans="2:14" ht="30">
      <c r="B123" s="37" t="s">
        <v>93</v>
      </c>
      <c r="C123" s="87" t="s">
        <v>26</v>
      </c>
      <c r="D123" s="160">
        <v>110000</v>
      </c>
      <c r="E123" s="90">
        <v>174735</v>
      </c>
      <c r="F123" s="43">
        <f>(E123/D123)*100</f>
        <v>158.85</v>
      </c>
      <c r="G123" s="142">
        <v>232900</v>
      </c>
      <c r="H123" s="54">
        <f>180000+60350</f>
        <v>240350</v>
      </c>
      <c r="I123" s="43">
        <f>(H123/G123)*100</f>
        <v>103.19879776728209</v>
      </c>
      <c r="J123" s="54">
        <f>13007+51621+99+1609</f>
        <v>66336</v>
      </c>
      <c r="K123" s="218">
        <f>(J123/H123)*100</f>
        <v>27.599750364052422</v>
      </c>
      <c r="L123" s="54">
        <v>80681</v>
      </c>
      <c r="M123" s="54">
        <v>82698</v>
      </c>
      <c r="N123" s="218">
        <f>(M123/L123)*100</f>
        <v>102.49996901377028</v>
      </c>
    </row>
    <row r="124" spans="2:14" ht="15">
      <c r="B124" s="144"/>
      <c r="D124" s="82"/>
      <c r="E124" s="82"/>
      <c r="F124" s="136"/>
      <c r="G124" s="63"/>
      <c r="H124" s="63"/>
      <c r="I124" s="63"/>
      <c r="J124" s="63"/>
      <c r="K124" s="63"/>
      <c r="L124" s="63"/>
      <c r="M124" s="63"/>
      <c r="N124" s="63"/>
    </row>
    <row r="125" spans="2:14" ht="15.75" customHeight="1">
      <c r="B125" s="267" t="s">
        <v>27</v>
      </c>
      <c r="C125" s="291" t="s">
        <v>28</v>
      </c>
      <c r="D125" s="264">
        <f>SUM(D128)</f>
        <v>15124962</v>
      </c>
      <c r="E125" s="264">
        <f>SUM(E128)</f>
        <v>12649940</v>
      </c>
      <c r="F125" s="261">
        <f>(E125/D125)*100</f>
        <v>83.63617706940354</v>
      </c>
      <c r="G125" s="264">
        <f>SUM(G128)</f>
        <v>15124962</v>
      </c>
      <c r="H125" s="264">
        <f>SUM(H128)</f>
        <v>15480487</v>
      </c>
      <c r="I125" s="261">
        <f>(H125/G125)*100</f>
        <v>102.35058441799723</v>
      </c>
      <c r="J125" s="264">
        <f>SUM(J128)</f>
        <v>12968642</v>
      </c>
      <c r="K125" s="302">
        <f>(J125/H125)*100</f>
        <v>83.77412157640777</v>
      </c>
      <c r="L125" s="264">
        <f>SUM(L128)</f>
        <v>15500476</v>
      </c>
      <c r="M125" s="264">
        <f>SUM(M128)</f>
        <v>16460509</v>
      </c>
      <c r="N125" s="302">
        <f>SUM(N128)</f>
        <v>106.1935710877524</v>
      </c>
    </row>
    <row r="126" spans="2:14" ht="15.75" customHeight="1">
      <c r="B126" s="269"/>
      <c r="C126" s="292"/>
      <c r="D126" s="266"/>
      <c r="E126" s="266"/>
      <c r="F126" s="263"/>
      <c r="G126" s="266"/>
      <c r="H126" s="266"/>
      <c r="I126" s="263"/>
      <c r="J126" s="266"/>
      <c r="K126" s="304"/>
      <c r="L126" s="266"/>
      <c r="M126" s="266"/>
      <c r="N126" s="304"/>
    </row>
    <row r="127" spans="2:14" ht="15">
      <c r="B127" s="35"/>
      <c r="C127" s="137"/>
      <c r="D127" s="51"/>
      <c r="E127" s="52"/>
      <c r="F127" s="83"/>
      <c r="G127" s="63"/>
      <c r="H127" s="85"/>
      <c r="I127" s="85"/>
      <c r="J127" s="85"/>
      <c r="K127" s="219"/>
      <c r="L127" s="85"/>
      <c r="M127" s="85"/>
      <c r="N127" s="85"/>
    </row>
    <row r="128" spans="2:14" ht="15">
      <c r="B128" s="37" t="s">
        <v>94</v>
      </c>
      <c r="C128" s="138" t="s">
        <v>30</v>
      </c>
      <c r="D128" s="135">
        <f>SUM(D129:D132)</f>
        <v>15124962</v>
      </c>
      <c r="E128" s="135">
        <f>SUM(E129:E132)</f>
        <v>12649940</v>
      </c>
      <c r="F128" s="43">
        <f>(E128/D128)*100</f>
        <v>83.63617706940354</v>
      </c>
      <c r="G128" s="135">
        <f>SUM(G129:G132)</f>
        <v>15124962</v>
      </c>
      <c r="H128" s="90">
        <f>SUM(H129:H132)</f>
        <v>15480487</v>
      </c>
      <c r="I128" s="43">
        <f>(H128/G128)*100</f>
        <v>102.35058441799723</v>
      </c>
      <c r="J128" s="90">
        <f>SUM(J129:J132)</f>
        <v>12968642</v>
      </c>
      <c r="K128" s="220">
        <f>SUM(K129:K132)</f>
        <v>234.6143875472962</v>
      </c>
      <c r="L128" s="90">
        <f>SUM(L129:L132)</f>
        <v>15500476</v>
      </c>
      <c r="M128" s="90">
        <f>SUM(M129:M132)</f>
        <v>16460509</v>
      </c>
      <c r="N128" s="218">
        <f>(M128/L128)*100</f>
        <v>106.1935710877524</v>
      </c>
    </row>
    <row r="129" spans="2:14" ht="15">
      <c r="B129" s="72"/>
      <c r="C129" s="27" t="s">
        <v>127</v>
      </c>
      <c r="D129" s="51">
        <v>13582591</v>
      </c>
      <c r="E129" s="52">
        <v>11492965</v>
      </c>
      <c r="F129" s="49">
        <f>(E129/D129)*100</f>
        <v>84.6154095341603</v>
      </c>
      <c r="G129" s="53">
        <v>13582591</v>
      </c>
      <c r="H129" s="71">
        <f>13797479+328645</f>
        <v>14126124</v>
      </c>
      <c r="I129" s="139">
        <f>(H129/G129)*100</f>
        <v>104.00168863216157</v>
      </c>
      <c r="J129" s="71">
        <v>11952875</v>
      </c>
      <c r="K129" s="217">
        <f>(J129/H129)*100</f>
        <v>84.61539060537767</v>
      </c>
      <c r="L129" s="71">
        <v>14146113</v>
      </c>
      <c r="M129" s="71">
        <v>14211043</v>
      </c>
      <c r="N129" s="217">
        <f>(M129/L129)*100</f>
        <v>100.45899534380929</v>
      </c>
    </row>
    <row r="130" spans="2:14" ht="15" hidden="1">
      <c r="B130" s="35"/>
      <c r="C130" s="28" t="s">
        <v>128</v>
      </c>
      <c r="D130" s="51">
        <v>772</v>
      </c>
      <c r="E130" s="52">
        <v>772</v>
      </c>
      <c r="F130" s="49">
        <f>(E130/D130)*100</f>
        <v>100</v>
      </c>
      <c r="G130" s="53">
        <v>772</v>
      </c>
      <c r="H130" s="86">
        <v>0</v>
      </c>
      <c r="I130" s="139">
        <f>(H130/G130)*100</f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</row>
    <row r="131" spans="2:14" ht="15">
      <c r="B131" s="37"/>
      <c r="C131" s="141" t="s">
        <v>129</v>
      </c>
      <c r="D131" s="90">
        <v>0</v>
      </c>
      <c r="E131" s="90">
        <v>0</v>
      </c>
      <c r="F131" s="43">
        <v>0</v>
      </c>
      <c r="G131" s="142">
        <v>0</v>
      </c>
      <c r="H131" s="54">
        <v>389704</v>
      </c>
      <c r="I131" s="109">
        <v>0</v>
      </c>
      <c r="J131" s="54">
        <v>292275</v>
      </c>
      <c r="K131" s="218">
        <f>(J131/H131)*100</f>
        <v>74.9992301849609</v>
      </c>
      <c r="L131" s="54">
        <v>389704</v>
      </c>
      <c r="M131" s="54">
        <v>2249466</v>
      </c>
      <c r="N131" s="217">
        <f>(M131/L131)*100</f>
        <v>577.224252252992</v>
      </c>
    </row>
    <row r="132" spans="2:14" ht="15" hidden="1">
      <c r="B132" s="35"/>
      <c r="C132" s="140" t="s">
        <v>130</v>
      </c>
      <c r="D132" s="52">
        <v>1541599</v>
      </c>
      <c r="E132" s="52">
        <v>1156203</v>
      </c>
      <c r="F132" s="49">
        <f>(E132/D132)*100</f>
        <v>75.00024325392012</v>
      </c>
      <c r="G132" s="53">
        <v>1541599</v>
      </c>
      <c r="H132" s="86">
        <f>SUM(H133)</f>
        <v>964659</v>
      </c>
      <c r="I132" s="139">
        <f>(H132/G132)*100</f>
        <v>62.5752222205645</v>
      </c>
      <c r="J132" s="86">
        <f>SUM(J133)</f>
        <v>723492</v>
      </c>
      <c r="K132" s="217">
        <f>(J132/H132)*100</f>
        <v>74.99976675695764</v>
      </c>
      <c r="L132" s="86">
        <f>SUM(L133)</f>
        <v>964659</v>
      </c>
      <c r="M132" s="86">
        <f>SUM(M133)</f>
        <v>0</v>
      </c>
      <c r="N132" s="217">
        <f>(M132/L132)*100</f>
        <v>0</v>
      </c>
    </row>
    <row r="133" spans="2:14" ht="15" hidden="1">
      <c r="B133" s="37"/>
      <c r="C133" s="141" t="s">
        <v>133</v>
      </c>
      <c r="D133" s="90">
        <v>1541599</v>
      </c>
      <c r="E133" s="90">
        <v>1156203</v>
      </c>
      <c r="F133" s="43">
        <f>(E133/D133)*100</f>
        <v>75.00024325392012</v>
      </c>
      <c r="G133" s="142">
        <v>1541599</v>
      </c>
      <c r="H133" s="54">
        <f>1020413-55754</f>
        <v>964659</v>
      </c>
      <c r="I133" s="109">
        <f>(H133/G133)*100</f>
        <v>62.5752222205645</v>
      </c>
      <c r="J133" s="54">
        <v>723492</v>
      </c>
      <c r="K133" s="218">
        <f>(J133/H133)*100</f>
        <v>74.99976675695764</v>
      </c>
      <c r="L133" s="54">
        <v>964659</v>
      </c>
      <c r="M133" s="54">
        <v>0</v>
      </c>
      <c r="N133" s="218">
        <f>(M133/L133)*100</f>
        <v>0</v>
      </c>
    </row>
    <row r="134" spans="2:14" ht="15">
      <c r="B134" s="103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2:14" ht="15.75" customHeight="1">
      <c r="B135" s="267" t="s">
        <v>31</v>
      </c>
      <c r="C135" s="291" t="s">
        <v>32</v>
      </c>
      <c r="D135" s="264">
        <f>SUM(D137:D137)</f>
        <v>8388</v>
      </c>
      <c r="E135" s="264">
        <f>SUM(E137:E137)</f>
        <v>8388</v>
      </c>
      <c r="F135" s="261">
        <f>(E135/D135)*100</f>
        <v>100</v>
      </c>
      <c r="G135" s="289">
        <f>SUM(G137:G137)</f>
        <v>8388</v>
      </c>
      <c r="H135" s="289">
        <f>SUM(H138:H141)</f>
        <v>209783</v>
      </c>
      <c r="I135" s="289">
        <f>SUM(I138:I141)</f>
        <v>115.70047472192384</v>
      </c>
      <c r="J135" s="289">
        <f>SUM(J138:J141)</f>
        <v>206820</v>
      </c>
      <c r="K135" s="311">
        <f>(J135/H135)*100</f>
        <v>98.58758812677863</v>
      </c>
      <c r="L135" s="289">
        <f>SUM(L138:L141)</f>
        <v>209783</v>
      </c>
      <c r="M135" s="289">
        <f>SUM(M138:M141)</f>
        <v>304268</v>
      </c>
      <c r="N135" s="313">
        <f>(M135/L135)*100</f>
        <v>145.0393978539729</v>
      </c>
    </row>
    <row r="136" spans="2:14" ht="15.75" customHeight="1">
      <c r="B136" s="269"/>
      <c r="C136" s="292"/>
      <c r="D136" s="266"/>
      <c r="E136" s="266"/>
      <c r="F136" s="263"/>
      <c r="G136" s="290"/>
      <c r="H136" s="290"/>
      <c r="I136" s="290"/>
      <c r="J136" s="290"/>
      <c r="K136" s="312"/>
      <c r="L136" s="290"/>
      <c r="M136" s="290"/>
      <c r="N136" s="314"/>
    </row>
    <row r="137" spans="2:14" ht="52.5" customHeight="1" hidden="1">
      <c r="B137" s="114" t="s">
        <v>95</v>
      </c>
      <c r="C137" s="143" t="s">
        <v>52</v>
      </c>
      <c r="D137" s="51">
        <v>8388</v>
      </c>
      <c r="E137" s="98">
        <v>8388</v>
      </c>
      <c r="F137" s="49">
        <f>(E137/D137)*100</f>
        <v>100</v>
      </c>
      <c r="G137" s="53">
        <v>8388</v>
      </c>
      <c r="H137" s="69">
        <v>0</v>
      </c>
      <c r="I137" s="139">
        <f>(H137/G137)*100</f>
        <v>0</v>
      </c>
      <c r="J137" s="69">
        <v>0</v>
      </c>
      <c r="K137" s="221">
        <v>0</v>
      </c>
      <c r="L137" s="69">
        <v>0</v>
      </c>
      <c r="M137" s="69">
        <v>0</v>
      </c>
      <c r="N137" s="69">
        <v>0</v>
      </c>
    </row>
    <row r="138" spans="2:14" ht="63" customHeight="1" hidden="1">
      <c r="B138" s="187" t="s">
        <v>78</v>
      </c>
      <c r="C138" s="80" t="s">
        <v>100</v>
      </c>
      <c r="D138" s="97"/>
      <c r="E138" s="97"/>
      <c r="F138" s="107"/>
      <c r="G138" s="71"/>
      <c r="H138" s="71">
        <v>13200</v>
      </c>
      <c r="I138" s="107"/>
      <c r="J138" s="71">
        <v>6100</v>
      </c>
      <c r="K138" s="221">
        <f>(J138/H138)*100</f>
        <v>46.21212121212121</v>
      </c>
      <c r="L138" s="71">
        <v>13200</v>
      </c>
      <c r="M138" s="71">
        <v>0</v>
      </c>
      <c r="N138" s="214">
        <f>(M138/L138)*100</f>
        <v>0</v>
      </c>
    </row>
    <row r="139" spans="2:14" ht="63" customHeight="1" hidden="1">
      <c r="B139" s="187" t="s">
        <v>76</v>
      </c>
      <c r="C139" s="222" t="s">
        <v>21</v>
      </c>
      <c r="D139" s="97"/>
      <c r="E139" s="97"/>
      <c r="F139" s="107"/>
      <c r="G139" s="71"/>
      <c r="H139" s="71">
        <v>15000</v>
      </c>
      <c r="I139" s="107"/>
      <c r="J139" s="71">
        <v>15000</v>
      </c>
      <c r="K139" s="221">
        <f>(J139/H139)*100</f>
        <v>100</v>
      </c>
      <c r="L139" s="71">
        <v>15000</v>
      </c>
      <c r="M139" s="71">
        <v>0</v>
      </c>
      <c r="N139" s="214">
        <f>(M139/L139)*100</f>
        <v>0</v>
      </c>
    </row>
    <row r="140" spans="2:14" ht="30" hidden="1">
      <c r="B140" s="115" t="s">
        <v>95</v>
      </c>
      <c r="C140" s="223" t="s">
        <v>33</v>
      </c>
      <c r="D140" s="56"/>
      <c r="E140" s="56"/>
      <c r="F140" s="60"/>
      <c r="G140" s="69"/>
      <c r="H140" s="69">
        <f>8093+6540</f>
        <v>14633</v>
      </c>
      <c r="I140" s="60"/>
      <c r="J140" s="69">
        <f>6986+6540</f>
        <v>13526</v>
      </c>
      <c r="K140" s="221">
        <f>(J140/H140)*100</f>
        <v>92.43490740107974</v>
      </c>
      <c r="L140" s="69">
        <f>8093+6540</f>
        <v>14633</v>
      </c>
      <c r="M140" s="69">
        <v>0</v>
      </c>
      <c r="N140" s="214">
        <f>(M140/L140)*100</f>
        <v>0</v>
      </c>
    </row>
    <row r="141" spans="2:14" ht="45">
      <c r="B141" s="115" t="s">
        <v>96</v>
      </c>
      <c r="C141" s="223" t="s">
        <v>44</v>
      </c>
      <c r="D141" s="68">
        <v>144295</v>
      </c>
      <c r="E141" s="68">
        <v>109483</v>
      </c>
      <c r="F141" s="60">
        <f>(E141/D141)*100</f>
        <v>75.87442392321286</v>
      </c>
      <c r="G141" s="69">
        <v>144295</v>
      </c>
      <c r="H141" s="69">
        <v>166950</v>
      </c>
      <c r="I141" s="60">
        <f>(H141/G141)*100</f>
        <v>115.70047472192384</v>
      </c>
      <c r="J141" s="69">
        <f>15950+62712+93532</f>
        <v>172194</v>
      </c>
      <c r="K141" s="221">
        <f>(J141/H141)*100</f>
        <v>103.14106019766398</v>
      </c>
      <c r="L141" s="69">
        <v>166950</v>
      </c>
      <c r="M141" s="69">
        <f>175500+15900+112868</f>
        <v>304268</v>
      </c>
      <c r="N141" s="214">
        <f>(M141/L141)*100</f>
        <v>182.25097334531299</v>
      </c>
    </row>
    <row r="142" spans="2:14" ht="15">
      <c r="B142" s="144"/>
      <c r="C142" s="172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2:14" ht="21.75" customHeight="1">
      <c r="B143" s="30" t="s">
        <v>45</v>
      </c>
      <c r="C143" s="145" t="s">
        <v>46</v>
      </c>
      <c r="D143" s="146">
        <f>SUM(D144)</f>
        <v>500000</v>
      </c>
      <c r="E143" s="147">
        <f>SUM(E144)</f>
        <v>483436</v>
      </c>
      <c r="F143" s="148">
        <f>(E143/D143)*100</f>
        <v>96.68719999999999</v>
      </c>
      <c r="G143" s="147">
        <f>SUM(G144)</f>
        <v>500000</v>
      </c>
      <c r="H143" s="147">
        <f>SUM(H144)</f>
        <v>500000</v>
      </c>
      <c r="I143" s="67">
        <f>(H143/G143)*100</f>
        <v>100</v>
      </c>
      <c r="J143" s="147">
        <f>SUM(J144)</f>
        <v>498510</v>
      </c>
      <c r="K143" s="147">
        <f>(J143/H143)*100</f>
        <v>99.702</v>
      </c>
      <c r="L143" s="147">
        <f>SUM(L144)</f>
        <v>500000</v>
      </c>
      <c r="M143" s="147">
        <f>SUM(M144)</f>
        <v>500000</v>
      </c>
      <c r="N143" s="224">
        <f>(M143/L143)*100</f>
        <v>100</v>
      </c>
    </row>
    <row r="144" spans="2:14" ht="30">
      <c r="B144" s="187" t="s">
        <v>97</v>
      </c>
      <c r="C144" s="195" t="s">
        <v>7</v>
      </c>
      <c r="D144" s="90">
        <v>500000</v>
      </c>
      <c r="E144" s="149">
        <v>483436</v>
      </c>
      <c r="F144" s="43">
        <f>(E144/D144)*100</f>
        <v>96.68719999999999</v>
      </c>
      <c r="G144" s="54">
        <v>500000</v>
      </c>
      <c r="H144" s="54">
        <v>500000</v>
      </c>
      <c r="I144" s="43">
        <f>(H144/G144)*100</f>
        <v>100</v>
      </c>
      <c r="J144" s="54">
        <v>498510</v>
      </c>
      <c r="K144" s="192">
        <f>(J144/H144)*100</f>
        <v>99.702</v>
      </c>
      <c r="L144" s="54">
        <v>500000</v>
      </c>
      <c r="M144" s="54">
        <v>500000</v>
      </c>
      <c r="N144" s="218">
        <f>(M144/L144)*100</f>
        <v>100</v>
      </c>
    </row>
    <row r="145" spans="2:14" ht="12.75" customHeight="1" hidden="1">
      <c r="B145" s="207"/>
      <c r="C145" s="87"/>
      <c r="D145" s="88"/>
      <c r="E145" s="150"/>
      <c r="F145" s="89"/>
      <c r="G145" s="89"/>
      <c r="H145" s="90"/>
      <c r="I145" s="89"/>
      <c r="J145" s="90"/>
      <c r="K145" s="90"/>
      <c r="L145" s="90"/>
      <c r="M145" s="90"/>
      <c r="N145" s="90"/>
    </row>
    <row r="146" spans="2:14" ht="15">
      <c r="B146" s="61"/>
      <c r="C146" s="151"/>
      <c r="D146" s="63"/>
      <c r="E146" s="152"/>
      <c r="F146" s="63"/>
      <c r="G146" s="63"/>
      <c r="H146" s="133"/>
      <c r="I146" s="63"/>
      <c r="J146" s="133"/>
      <c r="K146" s="133"/>
      <c r="L146" s="133"/>
      <c r="M146" s="133"/>
      <c r="N146" s="133"/>
    </row>
    <row r="147" spans="2:14" ht="28.5" customHeight="1">
      <c r="B147" s="64" t="s">
        <v>101</v>
      </c>
      <c r="C147" s="17" t="s">
        <v>102</v>
      </c>
      <c r="D147" s="146">
        <f>SUM(D149:D156)</f>
        <v>5868591</v>
      </c>
      <c r="E147" s="106">
        <f>SUM(E149:E156)</f>
        <v>4178805</v>
      </c>
      <c r="F147" s="148">
        <f>(E147/D147)*100</f>
        <v>71.20627421471355</v>
      </c>
      <c r="G147" s="146">
        <f>SUM(G149:G156)</f>
        <v>5868842</v>
      </c>
      <c r="H147" s="106">
        <f>SUM(H148:H157)</f>
        <v>10138493</v>
      </c>
      <c r="I147" s="106">
        <f>SUM(I148:I157)</f>
        <v>308.09287026332555</v>
      </c>
      <c r="J147" s="106">
        <f>SUM(J148:J157)</f>
        <v>7145372</v>
      </c>
      <c r="K147" s="225">
        <f>(J147/H147)*100</f>
        <v>70.47765382882841</v>
      </c>
      <c r="L147" s="106">
        <f>SUM(L148:L157)</f>
        <v>10142562</v>
      </c>
      <c r="M147" s="106">
        <f>SUM(M148:M157)</f>
        <v>12233000</v>
      </c>
      <c r="N147" s="225">
        <f>(M147/L147)*100</f>
        <v>120.61055185070597</v>
      </c>
    </row>
    <row r="148" spans="2:14" ht="29.25" customHeight="1" hidden="1">
      <c r="B148" s="227" t="s">
        <v>70</v>
      </c>
      <c r="C148" s="62" t="s">
        <v>9</v>
      </c>
      <c r="D148" s="146"/>
      <c r="E148" s="106"/>
      <c r="F148" s="226"/>
      <c r="G148" s="146"/>
      <c r="H148" s="228">
        <v>0</v>
      </c>
      <c r="I148" s="228"/>
      <c r="J148" s="228">
        <v>4069</v>
      </c>
      <c r="K148" s="194">
        <v>0</v>
      </c>
      <c r="L148" s="228">
        <v>4069</v>
      </c>
      <c r="M148" s="228">
        <v>0</v>
      </c>
      <c r="N148" s="213">
        <f>(M148/L148)*100</f>
        <v>0</v>
      </c>
    </row>
    <row r="149" spans="2:14" ht="60">
      <c r="B149" s="115" t="s">
        <v>78</v>
      </c>
      <c r="C149" s="80" t="s">
        <v>100</v>
      </c>
      <c r="D149" s="153">
        <v>5035555</v>
      </c>
      <c r="E149" s="154">
        <v>3738894</v>
      </c>
      <c r="F149" s="96">
        <f>(E149/D149)*100</f>
        <v>74.24988903904335</v>
      </c>
      <c r="G149" s="153">
        <v>5035555</v>
      </c>
      <c r="H149" s="46">
        <v>9093888</v>
      </c>
      <c r="I149" s="75">
        <f>(H149/G149)*100</f>
        <v>180.59355920052508</v>
      </c>
      <c r="J149" s="46">
        <f>5876897+54000+377666+22500</f>
        <v>6331063</v>
      </c>
      <c r="K149" s="194">
        <f>(J149/H149)*100</f>
        <v>69.61888028530811</v>
      </c>
      <c r="L149" s="46">
        <v>9093888</v>
      </c>
      <c r="M149" s="46">
        <f>10413000+80000+619000+30000</f>
        <v>11142000</v>
      </c>
      <c r="N149" s="213">
        <f>(M149/L149)*100</f>
        <v>122.52185203952368</v>
      </c>
    </row>
    <row r="150" spans="2:14" ht="12.75" customHeight="1" hidden="1">
      <c r="B150" s="44"/>
      <c r="C150" s="155"/>
      <c r="D150" s="156"/>
      <c r="E150" s="157"/>
      <c r="F150" s="156"/>
      <c r="G150" s="156"/>
      <c r="H150" s="56"/>
      <c r="I150" s="156"/>
      <c r="J150" s="56"/>
      <c r="K150" s="56"/>
      <c r="L150" s="56"/>
      <c r="M150" s="56"/>
      <c r="N150" s="56"/>
    </row>
    <row r="151" spans="2:14" ht="61.5" customHeight="1" hidden="1">
      <c r="B151" s="112" t="s">
        <v>95</v>
      </c>
      <c r="C151" s="81" t="s">
        <v>33</v>
      </c>
      <c r="D151" s="156">
        <v>0</v>
      </c>
      <c r="E151" s="157">
        <v>0</v>
      </c>
      <c r="F151" s="156"/>
      <c r="G151" s="156">
        <v>0</v>
      </c>
      <c r="H151" s="56"/>
      <c r="I151" s="156"/>
      <c r="J151" s="56"/>
      <c r="K151" s="56"/>
      <c r="L151" s="56"/>
      <c r="M151" s="56"/>
      <c r="N151" s="56"/>
    </row>
    <row r="152" spans="2:14" ht="12.75" customHeight="1" hidden="1">
      <c r="B152" s="35"/>
      <c r="C152" s="158"/>
      <c r="D152" s="63"/>
      <c r="E152" s="152"/>
      <c r="F152" s="63"/>
      <c r="G152" s="63"/>
      <c r="H152" s="133"/>
      <c r="I152" s="63"/>
      <c r="J152" s="133"/>
      <c r="K152" s="133"/>
      <c r="L152" s="133"/>
      <c r="M152" s="133"/>
      <c r="N152" s="133"/>
    </row>
    <row r="153" spans="2:14" ht="0.75" customHeight="1" hidden="1">
      <c r="B153" s="37"/>
      <c r="C153" s="159"/>
      <c r="D153" s="160"/>
      <c r="E153" s="90"/>
      <c r="F153" s="89"/>
      <c r="G153" s="160"/>
      <c r="H153" s="89"/>
      <c r="I153" s="89"/>
      <c r="J153" s="89"/>
      <c r="K153" s="89"/>
      <c r="L153" s="89"/>
      <c r="M153" s="89"/>
      <c r="N153" s="89"/>
    </row>
    <row r="154" spans="2:14" ht="30">
      <c r="B154" s="115" t="s">
        <v>95</v>
      </c>
      <c r="C154" s="80" t="s">
        <v>33</v>
      </c>
      <c r="D154" s="56">
        <v>816475</v>
      </c>
      <c r="E154" s="56">
        <v>423099</v>
      </c>
      <c r="F154" s="60">
        <f>(E154/D154)*100</f>
        <v>51.82020270063382</v>
      </c>
      <c r="G154" s="69">
        <v>816475</v>
      </c>
      <c r="H154" s="69">
        <v>1041000</v>
      </c>
      <c r="I154" s="60">
        <f>(H154/G154)*100</f>
        <v>127.49931106280046</v>
      </c>
      <c r="J154" s="69">
        <f>290734+352100+163801</f>
        <v>806635</v>
      </c>
      <c r="K154" s="192">
        <f>(J154/H154)*100</f>
        <v>77.48655139289144</v>
      </c>
      <c r="L154" s="69">
        <v>1041000</v>
      </c>
      <c r="M154" s="69">
        <f>451000+465000+175000</f>
        <v>1091000</v>
      </c>
      <c r="N154" s="218">
        <f>(M154/L154)*100</f>
        <v>104.8030739673391</v>
      </c>
    </row>
    <row r="155" spans="2:14" ht="30.75" customHeight="1" hidden="1">
      <c r="B155" s="115" t="s">
        <v>70</v>
      </c>
      <c r="C155" s="111" t="s">
        <v>105</v>
      </c>
      <c r="D155" s="56">
        <v>0</v>
      </c>
      <c r="E155" s="56">
        <v>251</v>
      </c>
      <c r="F155" s="60">
        <v>0</v>
      </c>
      <c r="G155" s="69">
        <v>251</v>
      </c>
      <c r="H155" s="69">
        <v>0</v>
      </c>
      <c r="I155" s="60">
        <f>(H155/G155)*100</f>
        <v>0</v>
      </c>
      <c r="J155" s="69">
        <v>0</v>
      </c>
      <c r="K155" s="192" t="e">
        <f>(J155/H155)*100</f>
        <v>#DIV/0!</v>
      </c>
      <c r="L155" s="69">
        <v>0</v>
      </c>
      <c r="M155" s="69">
        <v>0</v>
      </c>
      <c r="N155" s="218" t="e">
        <f>(M155/L155)*100</f>
        <v>#DIV/0!</v>
      </c>
    </row>
    <row r="156" spans="2:14" ht="80.25" customHeight="1" hidden="1">
      <c r="B156" s="115" t="s">
        <v>123</v>
      </c>
      <c r="C156" s="70" t="s">
        <v>125</v>
      </c>
      <c r="D156" s="46">
        <v>16561</v>
      </c>
      <c r="E156" s="46">
        <v>16561</v>
      </c>
      <c r="F156" s="75">
        <f>(E156/D156)*100</f>
        <v>100</v>
      </c>
      <c r="G156" s="48">
        <v>16561</v>
      </c>
      <c r="H156" s="48">
        <v>0</v>
      </c>
      <c r="I156" s="75">
        <f>(H156/G156)*100</f>
        <v>0</v>
      </c>
      <c r="J156" s="48">
        <v>0</v>
      </c>
      <c r="K156" s="192" t="e">
        <f>(J156/H156)*100</f>
        <v>#DIV/0!</v>
      </c>
      <c r="L156" s="48">
        <v>0</v>
      </c>
      <c r="M156" s="48">
        <v>0</v>
      </c>
      <c r="N156" s="218" t="e">
        <f>(M156/L156)*100</f>
        <v>#DIV/0!</v>
      </c>
    </row>
    <row r="157" spans="2:14" ht="60" hidden="1">
      <c r="B157" s="115" t="s">
        <v>123</v>
      </c>
      <c r="C157" s="70" t="s">
        <v>125</v>
      </c>
      <c r="D157" s="46"/>
      <c r="E157" s="46"/>
      <c r="F157" s="75"/>
      <c r="G157" s="48"/>
      <c r="H157" s="69">
        <v>3605</v>
      </c>
      <c r="I157" s="60"/>
      <c r="J157" s="69">
        <v>3605</v>
      </c>
      <c r="K157" s="192">
        <f>(J157/H157)*100</f>
        <v>100</v>
      </c>
      <c r="L157" s="69">
        <v>3605</v>
      </c>
      <c r="M157" s="69">
        <v>0</v>
      </c>
      <c r="N157" s="218">
        <f>(M157/L157)*100</f>
        <v>0</v>
      </c>
    </row>
    <row r="158" spans="2:14" ht="15.75" customHeight="1">
      <c r="B158" s="161"/>
      <c r="C158" s="162"/>
      <c r="D158" s="82"/>
      <c r="E158" s="82"/>
      <c r="F158" s="163"/>
      <c r="G158" s="163"/>
      <c r="H158" s="163"/>
      <c r="I158" s="163"/>
      <c r="J158" s="163"/>
      <c r="K158" s="163"/>
      <c r="L158" s="163"/>
      <c r="M158" s="163"/>
      <c r="N158" s="163"/>
    </row>
    <row r="159" spans="2:14" ht="31.5">
      <c r="B159" s="164" t="s">
        <v>119</v>
      </c>
      <c r="C159" s="165" t="s">
        <v>120</v>
      </c>
      <c r="D159" s="166" t="e">
        <f>SUM(#REF!,D161)</f>
        <v>#REF!</v>
      </c>
      <c r="E159" s="166" t="e">
        <f>SUM(#REF!,E161)</f>
        <v>#REF!</v>
      </c>
      <c r="F159" s="167" t="e">
        <f>(E159/D159)*100</f>
        <v>#REF!</v>
      </c>
      <c r="G159" s="167" t="e">
        <f>SUM(#REF!,G161)</f>
        <v>#REF!</v>
      </c>
      <c r="H159" s="167">
        <f>SUM(H160,H161)</f>
        <v>361259</v>
      </c>
      <c r="I159" s="167" t="e">
        <f>(H159/G159)*100</f>
        <v>#REF!</v>
      </c>
      <c r="J159" s="167">
        <f>SUM(J160,J161)</f>
        <v>496024</v>
      </c>
      <c r="K159" s="225">
        <f>(J159/H159)*100</f>
        <v>137.30426093190758</v>
      </c>
      <c r="L159" s="167">
        <f>SUM(L160,L161)</f>
        <v>946294</v>
      </c>
      <c r="M159" s="167">
        <f>SUM(M160,M161)</f>
        <v>945000</v>
      </c>
      <c r="N159" s="225">
        <f>(M159/L159)*100</f>
        <v>99.86325602825337</v>
      </c>
    </row>
    <row r="160" spans="2:14" ht="15.75" hidden="1">
      <c r="B160" s="244" t="s">
        <v>70</v>
      </c>
      <c r="C160" s="62" t="s">
        <v>9</v>
      </c>
      <c r="D160" s="166"/>
      <c r="E160" s="91"/>
      <c r="F160" s="167"/>
      <c r="G160" s="126"/>
      <c r="H160" s="228">
        <v>0</v>
      </c>
      <c r="I160" s="167"/>
      <c r="J160" s="126">
        <v>521</v>
      </c>
      <c r="K160" s="192">
        <v>0</v>
      </c>
      <c r="L160" s="126">
        <v>521</v>
      </c>
      <c r="M160" s="126">
        <v>0</v>
      </c>
      <c r="N160" s="218">
        <f>(M160/L160)*100</f>
        <v>0</v>
      </c>
    </row>
    <row r="161" spans="2:14" ht="45">
      <c r="B161" s="168" t="s">
        <v>121</v>
      </c>
      <c r="C161" s="70" t="s">
        <v>157</v>
      </c>
      <c r="D161" s="153">
        <v>465556</v>
      </c>
      <c r="E161" s="153">
        <v>465556</v>
      </c>
      <c r="F161" s="169">
        <f>(E161/D161)*100</f>
        <v>100</v>
      </c>
      <c r="G161" s="169">
        <v>826815</v>
      </c>
      <c r="H161" s="169">
        <v>361259</v>
      </c>
      <c r="I161" s="170">
        <f>(H161/G161)*100</f>
        <v>43.69284543700827</v>
      </c>
      <c r="J161" s="169">
        <v>495503</v>
      </c>
      <c r="K161" s="194">
        <f>(J161/H161)*100</f>
        <v>137.16004307159128</v>
      </c>
      <c r="L161" s="169">
        <f>361259+584514</f>
        <v>945773</v>
      </c>
      <c r="M161" s="169">
        <v>945000</v>
      </c>
      <c r="N161" s="213">
        <f>(M161/L161)*100</f>
        <v>99.91826791418237</v>
      </c>
    </row>
    <row r="162" spans="2:14" ht="15">
      <c r="B162" s="103"/>
      <c r="C162" s="17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</row>
    <row r="163" spans="2:14" ht="15.75" hidden="1">
      <c r="B163" s="164" t="s">
        <v>151</v>
      </c>
      <c r="C163" s="165" t="s">
        <v>152</v>
      </c>
      <c r="D163" s="166">
        <f>SUM(D164,D165)</f>
        <v>465556</v>
      </c>
      <c r="E163" s="166">
        <f>SUM(E164,E165)</f>
        <v>467824</v>
      </c>
      <c r="F163" s="167">
        <f>(E163/D163)*100</f>
        <v>100.48715943946593</v>
      </c>
      <c r="G163" s="167">
        <f>SUM(G164,G165)</f>
        <v>829083</v>
      </c>
      <c r="H163" s="167">
        <f>SUM(H164,H165)</f>
        <v>166021</v>
      </c>
      <c r="I163" s="167">
        <f>(H163/G163)*100</f>
        <v>20.02465374395567</v>
      </c>
      <c r="J163" s="167">
        <f>SUM(J164,J165)</f>
        <v>118614</v>
      </c>
      <c r="K163" s="225">
        <f>(J163/H163)*100</f>
        <v>71.44517862198155</v>
      </c>
      <c r="L163" s="167">
        <f>SUM(L164,L165)</f>
        <v>166021</v>
      </c>
      <c r="M163" s="167">
        <f>SUM(M164,M165)</f>
        <v>0</v>
      </c>
      <c r="N163" s="225">
        <f>(M163/L163)*100</f>
        <v>0</v>
      </c>
    </row>
    <row r="164" spans="2:14" ht="60" hidden="1">
      <c r="B164" s="122" t="s">
        <v>78</v>
      </c>
      <c r="C164" s="80" t="s">
        <v>100</v>
      </c>
      <c r="D164" s="166">
        <v>0</v>
      </c>
      <c r="E164" s="91">
        <v>2268</v>
      </c>
      <c r="F164" s="167">
        <v>0</v>
      </c>
      <c r="G164" s="126">
        <v>2268</v>
      </c>
      <c r="H164" s="126">
        <v>8000</v>
      </c>
      <c r="I164" s="167">
        <f>(H164/G164)*100</f>
        <v>352.7336860670194</v>
      </c>
      <c r="J164" s="126">
        <v>8000</v>
      </c>
      <c r="K164" s="192">
        <f>(J164/H164)*100</f>
        <v>100</v>
      </c>
      <c r="L164" s="126">
        <v>8000</v>
      </c>
      <c r="M164" s="126">
        <v>0</v>
      </c>
      <c r="N164" s="218">
        <f>(M164/L164)*100</f>
        <v>0</v>
      </c>
    </row>
    <row r="165" spans="2:14" ht="30" hidden="1">
      <c r="B165" s="168" t="s">
        <v>95</v>
      </c>
      <c r="C165" s="80" t="s">
        <v>33</v>
      </c>
      <c r="D165" s="153">
        <v>465556</v>
      </c>
      <c r="E165" s="153">
        <v>465556</v>
      </c>
      <c r="F165" s="169">
        <f>(E165/D165)*100</f>
        <v>100</v>
      </c>
      <c r="G165" s="169">
        <v>826815</v>
      </c>
      <c r="H165" s="169">
        <v>158021</v>
      </c>
      <c r="I165" s="170">
        <f>(H165/G165)*100</f>
        <v>19.11201417487588</v>
      </c>
      <c r="J165" s="169">
        <v>110614</v>
      </c>
      <c r="K165" s="194">
        <f>(J165/H165)*100</f>
        <v>69.99955702090229</v>
      </c>
      <c r="L165" s="169">
        <v>158021</v>
      </c>
      <c r="M165" s="169">
        <v>0</v>
      </c>
      <c r="N165" s="213">
        <f>(M165/L165)*100</f>
        <v>0</v>
      </c>
    </row>
    <row r="166" spans="2:14" ht="15.75" hidden="1">
      <c r="B166" s="229"/>
      <c r="C166" s="230"/>
      <c r="D166" s="231"/>
      <c r="E166" s="231"/>
      <c r="F166" s="232"/>
      <c r="G166" s="232"/>
      <c r="H166" s="232"/>
      <c r="I166" s="233"/>
      <c r="J166" s="232"/>
      <c r="K166" s="234"/>
      <c r="L166" s="232"/>
      <c r="M166" s="235"/>
      <c r="N166" s="236"/>
    </row>
    <row r="167" spans="2:14" ht="45" customHeight="1">
      <c r="B167" s="174" t="s">
        <v>34</v>
      </c>
      <c r="C167" s="243" t="s">
        <v>35</v>
      </c>
      <c r="D167" s="146">
        <f>SUM(D168:D169)</f>
        <v>502000</v>
      </c>
      <c r="E167" s="106">
        <f>SUM(E168:E169)</f>
        <v>280322</v>
      </c>
      <c r="F167" s="148">
        <f>(E167/D167)*100</f>
        <v>55.841035856573704</v>
      </c>
      <c r="G167" s="146">
        <f>SUM(G168:G169)</f>
        <v>506000</v>
      </c>
      <c r="H167" s="106">
        <f>SUM(H168:H170)</f>
        <v>11313800</v>
      </c>
      <c r="I167" s="106">
        <f>SUM(I168:I170)</f>
        <v>113.33333333333333</v>
      </c>
      <c r="J167" s="106">
        <f>SUM(J168:J170)</f>
        <v>519839</v>
      </c>
      <c r="K167" s="225">
        <f>(J167/H167)*100</f>
        <v>4.594733864837632</v>
      </c>
      <c r="L167" s="106">
        <f>SUM(L168:L170)</f>
        <v>3508264</v>
      </c>
      <c r="M167" s="106">
        <f>SUM(M168:M170)</f>
        <v>32568600</v>
      </c>
      <c r="N167" s="225">
        <f>(M167/L167)*100</f>
        <v>928.3394864240547</v>
      </c>
    </row>
    <row r="168" spans="2:14" s="82" customFormat="1" ht="15.75">
      <c r="B168" s="37" t="s">
        <v>77</v>
      </c>
      <c r="C168" s="172" t="s">
        <v>153</v>
      </c>
      <c r="D168" s="40">
        <v>2000</v>
      </c>
      <c r="E168" s="90">
        <v>4960</v>
      </c>
      <c r="F168" s="89">
        <f>(E168/D168)*100</f>
        <v>248</v>
      </c>
      <c r="G168" s="160">
        <v>6000</v>
      </c>
      <c r="H168" s="40">
        <v>2000</v>
      </c>
      <c r="I168" s="66">
        <f>(H168/G168)*100</f>
        <v>33.33333333333333</v>
      </c>
      <c r="J168" s="40">
        <v>2559</v>
      </c>
      <c r="K168" s="192">
        <f>(J168/H168)*100</f>
        <v>127.95</v>
      </c>
      <c r="L168" s="40">
        <v>3000</v>
      </c>
      <c r="M168" s="40">
        <v>4000</v>
      </c>
      <c r="N168" s="218">
        <f>(M168/L168)*100</f>
        <v>133.33333333333331</v>
      </c>
    </row>
    <row r="169" spans="2:14" ht="45" hidden="1">
      <c r="B169" s="44" t="s">
        <v>69</v>
      </c>
      <c r="C169" s="113" t="s">
        <v>47</v>
      </c>
      <c r="D169" s="56">
        <v>500000</v>
      </c>
      <c r="E169" s="56">
        <v>275362</v>
      </c>
      <c r="F169" s="60">
        <f>(E169/D169)*100</f>
        <v>55.0724</v>
      </c>
      <c r="G169" s="173">
        <v>500000</v>
      </c>
      <c r="H169" s="69">
        <v>400000</v>
      </c>
      <c r="I169" s="60">
        <f>(H169/G169)*100</f>
        <v>80</v>
      </c>
      <c r="J169" s="69">
        <f>168350+85</f>
        <v>168435</v>
      </c>
      <c r="K169" s="192">
        <f>(J169/H169)*100</f>
        <v>42.10875</v>
      </c>
      <c r="L169" s="69">
        <v>400000</v>
      </c>
      <c r="M169" s="69">
        <v>0</v>
      </c>
      <c r="N169" s="218">
        <f>(M169/L169)*100</f>
        <v>0</v>
      </c>
    </row>
    <row r="170" spans="2:14" ht="60">
      <c r="B170" s="44" t="s">
        <v>154</v>
      </c>
      <c r="C170" s="121" t="s">
        <v>122</v>
      </c>
      <c r="D170" s="56"/>
      <c r="E170" s="56"/>
      <c r="F170" s="238"/>
      <c r="G170" s="56"/>
      <c r="H170" s="56">
        <v>10911800</v>
      </c>
      <c r="I170" s="156"/>
      <c r="J170" s="56">
        <v>348845</v>
      </c>
      <c r="K170" s="192">
        <f>(J170/H170)*100</f>
        <v>3.1969519236056376</v>
      </c>
      <c r="L170" s="56">
        <v>3105264</v>
      </c>
      <c r="M170" s="56">
        <v>32564600</v>
      </c>
      <c r="N170" s="218">
        <f>(M170/L170)*100</f>
        <v>1048.690224084007</v>
      </c>
    </row>
    <row r="171" spans="2:14" ht="15">
      <c r="B171" s="93"/>
      <c r="C171" s="117"/>
      <c r="D171" s="133"/>
      <c r="E171" s="133"/>
      <c r="F171" s="237"/>
      <c r="G171" s="160"/>
      <c r="H171" s="160"/>
      <c r="I171" s="136"/>
      <c r="J171" s="160"/>
      <c r="K171" s="239"/>
      <c r="L171" s="160"/>
      <c r="M171" s="240"/>
      <c r="N171" s="241"/>
    </row>
    <row r="172" spans="2:14" ht="31.5" hidden="1">
      <c r="B172" s="164" t="s">
        <v>67</v>
      </c>
      <c r="C172" s="165" t="s">
        <v>68</v>
      </c>
      <c r="D172" s="166">
        <f>SUM(D173,D174)</f>
        <v>0</v>
      </c>
      <c r="E172" s="166">
        <f>SUM(E173,E174)</f>
        <v>2268</v>
      </c>
      <c r="F172" s="167" t="e">
        <f>(E172/D172)*100</f>
        <v>#DIV/0!</v>
      </c>
      <c r="G172" s="167">
        <f>SUM(G173,G174)</f>
        <v>2268</v>
      </c>
      <c r="H172" s="167">
        <f>SUM(H173,H174)</f>
        <v>4770</v>
      </c>
      <c r="I172" s="167">
        <f>(H172/G172)*100</f>
        <v>210.31746031746033</v>
      </c>
      <c r="J172" s="167">
        <f>SUM(J173,J174)</f>
        <v>4770</v>
      </c>
      <c r="K172" s="225">
        <f>(J172/H172)*100</f>
        <v>100</v>
      </c>
      <c r="L172" s="167">
        <f>SUM(L173,L174)</f>
        <v>4770</v>
      </c>
      <c r="M172" s="167">
        <f>SUM(M173,M174)</f>
        <v>0</v>
      </c>
      <c r="N172" s="225">
        <f>(M172/L172)*100</f>
        <v>0</v>
      </c>
    </row>
    <row r="173" spans="2:14" ht="45" hidden="1">
      <c r="B173" s="122" t="s">
        <v>155</v>
      </c>
      <c r="C173" s="80" t="s">
        <v>156</v>
      </c>
      <c r="D173" s="166">
        <v>0</v>
      </c>
      <c r="E173" s="91">
        <v>2268</v>
      </c>
      <c r="F173" s="167">
        <v>0</v>
      </c>
      <c r="G173" s="126">
        <v>2268</v>
      </c>
      <c r="H173" s="126">
        <v>4770</v>
      </c>
      <c r="I173" s="167">
        <f>(H173/G173)*100</f>
        <v>210.31746031746033</v>
      </c>
      <c r="J173" s="126">
        <v>4770</v>
      </c>
      <c r="K173" s="192">
        <f>(J173/H173)*100</f>
        <v>100</v>
      </c>
      <c r="L173" s="126">
        <v>4770</v>
      </c>
      <c r="M173" s="126">
        <v>0</v>
      </c>
      <c r="N173" s="218">
        <f>(M173/L173)*100</f>
        <v>0</v>
      </c>
    </row>
    <row r="174" spans="2:14" ht="15" hidden="1">
      <c r="B174" s="93"/>
      <c r="C174" s="117"/>
      <c r="D174" s="133"/>
      <c r="E174" s="133"/>
      <c r="F174" s="136"/>
      <c r="G174" s="160"/>
      <c r="H174" s="160"/>
      <c r="I174" s="136"/>
      <c r="J174" s="160"/>
      <c r="K174" s="160"/>
      <c r="L174" s="160"/>
      <c r="M174" s="160"/>
      <c r="N174" s="160"/>
    </row>
    <row r="175" spans="2:14" ht="33.75" customHeight="1" hidden="1">
      <c r="B175" s="174" t="s">
        <v>67</v>
      </c>
      <c r="C175" s="175" t="s">
        <v>68</v>
      </c>
      <c r="D175" s="106">
        <f>SUM(D178)</f>
        <v>8000</v>
      </c>
      <c r="E175" s="106">
        <f>SUM(E178)</f>
        <v>8000</v>
      </c>
      <c r="F175" s="60">
        <f>(E175/D175)*100</f>
        <v>100</v>
      </c>
      <c r="G175" s="106">
        <f>SUM(G178)</f>
        <v>8000</v>
      </c>
      <c r="H175" s="106">
        <f>SUM(H178)</f>
        <v>0</v>
      </c>
      <c r="I175" s="60">
        <f>(H175/G175)*100</f>
        <v>0</v>
      </c>
      <c r="J175" s="106">
        <f>SUM(J178)</f>
        <v>0</v>
      </c>
      <c r="K175" s="106">
        <f>SUM(K178)</f>
        <v>0</v>
      </c>
      <c r="L175" s="106">
        <f>SUM(L178)</f>
        <v>0</v>
      </c>
      <c r="M175" s="106">
        <f>SUM(M178)</f>
        <v>0</v>
      </c>
      <c r="N175" s="106">
        <f>SUM(N178)</f>
        <v>0</v>
      </c>
    </row>
    <row r="176" spans="2:14" ht="15.75" customHeight="1" hidden="1">
      <c r="B176" s="176"/>
      <c r="C176" s="177"/>
      <c r="D176" s="178"/>
      <c r="E176" s="178"/>
      <c r="F176" s="179"/>
      <c r="G176" s="180"/>
      <c r="H176" s="180"/>
      <c r="I176" s="109"/>
      <c r="J176" s="180"/>
      <c r="K176" s="180"/>
      <c r="L176" s="180"/>
      <c r="M176" s="180"/>
      <c r="N176" s="180"/>
    </row>
    <row r="177" spans="2:78" ht="15" hidden="1">
      <c r="B177" s="37"/>
      <c r="C177" s="172"/>
      <c r="D177" s="89"/>
      <c r="E177" s="90"/>
      <c r="F177" s="43"/>
      <c r="G177" s="160"/>
      <c r="H177" s="181"/>
      <c r="I177" s="43"/>
      <c r="J177" s="181"/>
      <c r="K177" s="181"/>
      <c r="L177" s="181"/>
      <c r="M177" s="181"/>
      <c r="N177" s="181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2:14" ht="45" hidden="1">
      <c r="B178" s="114" t="s">
        <v>98</v>
      </c>
      <c r="C178" s="102" t="s">
        <v>106</v>
      </c>
      <c r="D178" s="90">
        <v>8000</v>
      </c>
      <c r="E178" s="90">
        <v>8000</v>
      </c>
      <c r="F178" s="43">
        <f>(E178/D178)*100</f>
        <v>100</v>
      </c>
      <c r="G178" s="90">
        <v>8000</v>
      </c>
      <c r="H178" s="90">
        <v>0</v>
      </c>
      <c r="I178" s="43">
        <f>(H178/G178)*100</f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</row>
    <row r="179" spans="2:14" ht="15" hidden="1">
      <c r="B179" s="182"/>
      <c r="C179" s="172"/>
      <c r="D179" s="160"/>
      <c r="E179" s="160"/>
      <c r="F179" s="136"/>
      <c r="G179" s="160"/>
      <c r="H179" s="160"/>
      <c r="I179" s="134"/>
      <c r="J179" s="160"/>
      <c r="K179" s="160"/>
      <c r="L179" s="160"/>
      <c r="M179" s="160"/>
      <c r="N179" s="160"/>
    </row>
    <row r="180" spans="2:14" ht="15.75">
      <c r="B180" s="183"/>
      <c r="C180" s="27"/>
      <c r="D180" s="27"/>
      <c r="E180" s="27"/>
      <c r="F180" s="27"/>
      <c r="G180" s="27"/>
      <c r="H180" s="27"/>
      <c r="I180" s="10"/>
      <c r="J180" s="27"/>
      <c r="K180" s="27"/>
      <c r="L180" s="27"/>
      <c r="M180" s="27"/>
      <c r="N180" s="27"/>
    </row>
    <row r="181" spans="2:14" ht="15.75">
      <c r="B181" s="184"/>
      <c r="C181" s="185" t="s">
        <v>36</v>
      </c>
      <c r="D181" s="186" t="e">
        <f>SUM(D12,D22,D35,D44,D64,D74,D84,D125,D135,D143,D147,D159,D167,D175)</f>
        <v>#REF!</v>
      </c>
      <c r="E181" s="186" t="e">
        <f>SUM(E12,E22,E35,E44,E64,E74,E84,E125,E135,E143,E147,E159,E167,E175)</f>
        <v>#REF!</v>
      </c>
      <c r="F181" s="120" t="e">
        <f>(E181/D181)*100</f>
        <v>#REF!</v>
      </c>
      <c r="G181" s="186" t="e">
        <f>SUM(G12,G22,G35,G44,G64,G74,G84,G125,G135,G143,G147,G159,G167,G175)</f>
        <v>#REF!</v>
      </c>
      <c r="H181" s="186">
        <f>SUM(H9,H12,H22,H35,H44,H64,H74,H84,H125,H135,H143,H147,H159,H163,H167,H172)</f>
        <v>72163007.8</v>
      </c>
      <c r="I181" s="186" t="e">
        <f>SUM(I9,I12,I22,I35,I44,I64,I74,I84,I125,I135,I143,I147,I159,I163,I167,I172)</f>
        <v>#REF!</v>
      </c>
      <c r="J181" s="186">
        <f>SUM(J9,J12,J22,J35,J44,J64,J74,J84,J125,J135,J143,J147,J159,J163,J167,J172)</f>
        <v>45723886</v>
      </c>
      <c r="K181" s="242">
        <f>(J181/H181)*100</f>
        <v>63.36194595259096</v>
      </c>
      <c r="L181" s="186">
        <f>SUM(L9,L12,L22,L35,L44,L64,L74,L84,L125,L135,L143,L147,L159,L163,L167,L172)</f>
        <v>63743392</v>
      </c>
      <c r="M181" s="186">
        <f>SUM(M9,M12,M22,M35,M44,M64,M74,M84,M125,M135,M143,M147,M159,M163,M167,M172)</f>
        <v>98939380</v>
      </c>
      <c r="N181" s="242">
        <f>(M181/L181)*100</f>
        <v>155.21511625863903</v>
      </c>
    </row>
    <row r="182" spans="2:14" ht="15.75">
      <c r="B182" s="188"/>
      <c r="C182" s="159"/>
      <c r="D182" s="159"/>
      <c r="E182" s="159"/>
      <c r="F182" s="159"/>
      <c r="G182" s="159"/>
      <c r="H182" s="159"/>
      <c r="I182" s="17"/>
      <c r="J182" s="159"/>
      <c r="K182" s="159"/>
      <c r="L182" s="159"/>
      <c r="M182" s="159"/>
      <c r="N182" s="159"/>
    </row>
    <row r="185" ht="15">
      <c r="C185" s="1" t="s">
        <v>39</v>
      </c>
    </row>
  </sheetData>
  <mergeCells count="127">
    <mergeCell ref="M125:M126"/>
    <mergeCell ref="M135:M136"/>
    <mergeCell ref="N125:N126"/>
    <mergeCell ref="N135:N136"/>
    <mergeCell ref="N35:N37"/>
    <mergeCell ref="N51:N55"/>
    <mergeCell ref="N56:N60"/>
    <mergeCell ref="N64:N67"/>
    <mergeCell ref="N68:N72"/>
    <mergeCell ref="N74:N75"/>
    <mergeCell ref="L125:L126"/>
    <mergeCell ref="L135:L136"/>
    <mergeCell ref="M68:M72"/>
    <mergeCell ref="M74:M75"/>
    <mergeCell ref="M78:M82"/>
    <mergeCell ref="M84:M86"/>
    <mergeCell ref="N78:N82"/>
    <mergeCell ref="N84:N86"/>
    <mergeCell ref="M35:M37"/>
    <mergeCell ref="M51:M55"/>
    <mergeCell ref="M56:M60"/>
    <mergeCell ref="M64:M67"/>
    <mergeCell ref="K125:K126"/>
    <mergeCell ref="K135:K136"/>
    <mergeCell ref="L35:L37"/>
    <mergeCell ref="L51:L55"/>
    <mergeCell ref="L56:L60"/>
    <mergeCell ref="L64:L67"/>
    <mergeCell ref="L68:L72"/>
    <mergeCell ref="L74:L75"/>
    <mergeCell ref="L78:L82"/>
    <mergeCell ref="L84:L86"/>
    <mergeCell ref="J125:J126"/>
    <mergeCell ref="J135:J136"/>
    <mergeCell ref="K35:K37"/>
    <mergeCell ref="K51:K55"/>
    <mergeCell ref="K56:K60"/>
    <mergeCell ref="K64:K67"/>
    <mergeCell ref="K68:K72"/>
    <mergeCell ref="K74:K75"/>
    <mergeCell ref="K78:K82"/>
    <mergeCell ref="K84:K86"/>
    <mergeCell ref="J68:J72"/>
    <mergeCell ref="J74:J75"/>
    <mergeCell ref="J78:J82"/>
    <mergeCell ref="J84:J86"/>
    <mergeCell ref="J35:J37"/>
    <mergeCell ref="J51:J55"/>
    <mergeCell ref="J56:J60"/>
    <mergeCell ref="J64:J67"/>
    <mergeCell ref="H135:H136"/>
    <mergeCell ref="F135:F136"/>
    <mergeCell ref="B64:B67"/>
    <mergeCell ref="C64:C67"/>
    <mergeCell ref="H74:H75"/>
    <mergeCell ref="D135:D136"/>
    <mergeCell ref="E135:E136"/>
    <mergeCell ref="B125:B126"/>
    <mergeCell ref="B135:B136"/>
    <mergeCell ref="C84:C86"/>
    <mergeCell ref="I135:I136"/>
    <mergeCell ref="C135:C136"/>
    <mergeCell ref="C125:C126"/>
    <mergeCell ref="G125:G126"/>
    <mergeCell ref="H125:H126"/>
    <mergeCell ref="I125:I126"/>
    <mergeCell ref="G135:G136"/>
    <mergeCell ref="D125:D126"/>
    <mergeCell ref="E125:E126"/>
    <mergeCell ref="F125:F126"/>
    <mergeCell ref="I74:I75"/>
    <mergeCell ref="D84:D86"/>
    <mergeCell ref="E84:E86"/>
    <mergeCell ref="F84:F86"/>
    <mergeCell ref="G84:G86"/>
    <mergeCell ref="H84:H86"/>
    <mergeCell ref="I84:I86"/>
    <mergeCell ref="D74:D75"/>
    <mergeCell ref="E74:E75"/>
    <mergeCell ref="I78:I82"/>
    <mergeCell ref="I64:I67"/>
    <mergeCell ref="E68:E72"/>
    <mergeCell ref="F68:F72"/>
    <mergeCell ref="G68:G72"/>
    <mergeCell ref="H68:H72"/>
    <mergeCell ref="I68:I72"/>
    <mergeCell ref="G64:G67"/>
    <mergeCell ref="H64:H67"/>
    <mergeCell ref="I51:I55"/>
    <mergeCell ref="D51:D55"/>
    <mergeCell ref="D56:D60"/>
    <mergeCell ref="E56:E60"/>
    <mergeCell ref="F56:F60"/>
    <mergeCell ref="G56:G60"/>
    <mergeCell ref="H56:H60"/>
    <mergeCell ref="I56:I60"/>
    <mergeCell ref="E51:E55"/>
    <mergeCell ref="F51:F55"/>
    <mergeCell ref="D68:D72"/>
    <mergeCell ref="D64:D67"/>
    <mergeCell ref="B51:B55"/>
    <mergeCell ref="C78:C82"/>
    <mergeCell ref="C74:C75"/>
    <mergeCell ref="B78:B82"/>
    <mergeCell ref="G51:G55"/>
    <mergeCell ref="E64:E67"/>
    <mergeCell ref="F64:F67"/>
    <mergeCell ref="F74:F75"/>
    <mergeCell ref="G74:G75"/>
    <mergeCell ref="G78:G82"/>
    <mergeCell ref="H78:H82"/>
    <mergeCell ref="C39:C41"/>
    <mergeCell ref="C51:C55"/>
    <mergeCell ref="C68:C72"/>
    <mergeCell ref="C56:C60"/>
    <mergeCell ref="H51:H55"/>
    <mergeCell ref="D78:D82"/>
    <mergeCell ref="E78:E82"/>
    <mergeCell ref="F78:F82"/>
    <mergeCell ref="B35:B37"/>
    <mergeCell ref="C35:C37"/>
    <mergeCell ref="D35:D37"/>
    <mergeCell ref="E35:E37"/>
    <mergeCell ref="F35:F37"/>
    <mergeCell ref="G35:G37"/>
    <mergeCell ref="H35:H37"/>
    <mergeCell ref="I35:I37"/>
  </mergeCells>
  <printOptions/>
  <pageMargins left="1.3779527559055118" right="0.5905511811023623" top="0.984251968503937" bottom="0.984251968503937" header="0.5118110236220472" footer="0.5118110236220472"/>
  <pageSetup fitToHeight="4" horizontalDpi="600" verticalDpi="600" orientation="portrait" paperSize="9" scale="65" r:id="rId1"/>
  <rowBreaks count="2" manualBreakCount="2">
    <brk id="62" min="1" max="13" man="1"/>
    <brk id="131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2005-12-28T13:02:14Z</cp:lastPrinted>
  <dcterms:created xsi:type="dcterms:W3CDTF">2000-09-18T08:51:07Z</dcterms:created>
  <dcterms:modified xsi:type="dcterms:W3CDTF">2005-12-28T13:03:06Z</dcterms:modified>
  <cp:category/>
  <cp:version/>
  <cp:contentType/>
  <cp:contentStatus/>
</cp:coreProperties>
</file>